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\Documents\web\public_html\FPT\"/>
    </mc:Choice>
  </mc:AlternateContent>
  <bookViews>
    <workbookView minimized="1" xWindow="0" yWindow="0" windowWidth="28800" windowHeight="12585"/>
  </bookViews>
  <sheets>
    <sheet name="FPT" sheetId="1" r:id="rId1"/>
  </sheets>
  <definedNames>
    <definedName name="colourcell">Selection.Interior.ColorIndex = 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" i="1" l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T19" i="1" l="1"/>
  <c r="T21" i="1"/>
  <c r="T29" i="1"/>
  <c r="T30" i="1"/>
  <c r="T31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T10" i="1"/>
  <c r="T14" i="1"/>
  <c r="T25" i="1"/>
  <c r="T11" i="1"/>
  <c r="T15" i="1"/>
  <c r="T16" i="1"/>
  <c r="T20" i="1"/>
  <c r="T26" i="1"/>
  <c r="T27" i="1"/>
  <c r="T28" i="1"/>
  <c r="T32" i="1"/>
  <c r="T45" i="1" l="1"/>
  <c r="T44" i="1"/>
  <c r="T43" i="1"/>
  <c r="T42" i="1"/>
  <c r="T41" i="1"/>
  <c r="T40" i="1"/>
  <c r="T39" i="1"/>
  <c r="T38" i="1"/>
  <c r="T37" i="1"/>
  <c r="T36" i="1"/>
  <c r="T35" i="1"/>
  <c r="T34" i="1"/>
  <c r="T33" i="1"/>
  <c r="T18" i="1"/>
  <c r="T17" i="1"/>
  <c r="T13" i="1"/>
  <c r="T9" i="1"/>
  <c r="T12" i="1"/>
  <c r="V8" i="1" l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L8" i="1" l="1"/>
  <c r="L27" i="1" l="1"/>
  <c r="L28" i="1"/>
  <c r="L29" i="1"/>
  <c r="L26" i="1" l="1"/>
  <c r="L25" i="1"/>
  <c r="L21" i="1"/>
  <c r="L17" i="1"/>
  <c r="L13" i="1"/>
  <c r="L15" i="1"/>
  <c r="L19" i="1"/>
  <c r="L11" i="1"/>
  <c r="L10" i="1"/>
  <c r="L20" i="1"/>
  <c r="L16" i="1"/>
  <c r="L12" i="1"/>
  <c r="L18" i="1"/>
  <c r="L14" i="1"/>
  <c r="T8" i="1"/>
  <c r="L9" i="1"/>
  <c r="T2" i="1"/>
  <c r="T3" i="1" s="1"/>
  <c r="V2" i="1"/>
  <c r="V3" i="1" s="1"/>
  <c r="J3" i="1" s="1"/>
  <c r="I2" i="1" l="1"/>
  <c r="J2" i="1"/>
  <c r="M2" i="1"/>
  <c r="M3" i="1" s="1"/>
  <c r="C7" i="1"/>
  <c r="C6" i="1"/>
  <c r="L2" i="1"/>
  <c r="L3" i="1" s="1"/>
  <c r="DN2" i="1"/>
  <c r="DN3" i="1" s="1"/>
  <c r="DO2" i="1"/>
  <c r="DO3" i="1" s="1"/>
  <c r="DP2" i="1"/>
  <c r="DP3" i="1" s="1"/>
  <c r="DQ2" i="1"/>
  <c r="DQ3" i="1" s="1"/>
  <c r="K2" i="1"/>
  <c r="K3" i="1" s="1"/>
  <c r="N2" i="1"/>
  <c r="N3" i="1" s="1"/>
  <c r="O2" i="1"/>
  <c r="O3" i="1" s="1"/>
  <c r="P2" i="1"/>
  <c r="P3" i="1" s="1"/>
  <c r="Q2" i="1"/>
  <c r="Q3" i="1" s="1"/>
  <c r="S2" i="1"/>
  <c r="S3" i="1" s="1"/>
  <c r="CX2" i="1"/>
  <c r="CX3" i="1" s="1"/>
  <c r="CY2" i="1"/>
  <c r="CY3" i="1" s="1"/>
  <c r="CZ2" i="1"/>
  <c r="CZ3" i="1" s="1"/>
  <c r="DA2" i="1"/>
  <c r="DA3" i="1" s="1"/>
  <c r="DC2" i="1"/>
  <c r="DC3" i="1" s="1"/>
  <c r="DD2" i="1"/>
  <c r="DD3" i="1" s="1"/>
  <c r="DE2" i="1"/>
  <c r="DE3" i="1" s="1"/>
  <c r="DF2" i="1"/>
  <c r="DF3" i="1" s="1"/>
  <c r="DG2" i="1"/>
  <c r="DG3" i="1" s="1"/>
  <c r="DH2" i="1"/>
  <c r="DH3" i="1" s="1"/>
  <c r="DI2" i="1"/>
  <c r="DI3" i="1" s="1"/>
  <c r="DJ2" i="1"/>
  <c r="DJ3" i="1" s="1"/>
  <c r="DK2" i="1"/>
  <c r="DK3" i="1" s="1"/>
  <c r="DL2" i="1"/>
  <c r="DL3" i="1" s="1"/>
  <c r="DM2" i="1"/>
  <c r="DM3" i="1" s="1"/>
  <c r="CH2" i="1"/>
  <c r="CH3" i="1" s="1"/>
  <c r="CI2" i="1"/>
  <c r="CI3" i="1" s="1"/>
  <c r="CJ2" i="1"/>
  <c r="CJ3" i="1" s="1"/>
  <c r="CK2" i="1"/>
  <c r="CK3" i="1" s="1"/>
  <c r="CM2" i="1"/>
  <c r="CM3" i="1" s="1"/>
  <c r="CN2" i="1"/>
  <c r="CN3" i="1" s="1"/>
  <c r="CO2" i="1"/>
  <c r="CO3" i="1" s="1"/>
  <c r="CP2" i="1"/>
  <c r="CP3" i="1" s="1"/>
  <c r="CQ2" i="1"/>
  <c r="CQ3" i="1" s="1"/>
  <c r="CR2" i="1"/>
  <c r="CR3" i="1" s="1"/>
  <c r="CS2" i="1"/>
  <c r="CS3" i="1" s="1"/>
  <c r="CT2" i="1"/>
  <c r="CT3" i="1" s="1"/>
  <c r="CU2" i="1"/>
  <c r="CU3" i="1" s="1"/>
  <c r="CV2" i="1"/>
  <c r="CV3" i="1" s="1"/>
  <c r="CW2" i="1"/>
  <c r="CW3" i="1" s="1"/>
  <c r="BN2" i="1"/>
  <c r="BN3" i="1" s="1"/>
  <c r="BO2" i="1"/>
  <c r="BO3" i="1" s="1"/>
  <c r="BP2" i="1"/>
  <c r="BP3" i="1" s="1"/>
  <c r="BR2" i="1"/>
  <c r="BR3" i="1" s="1"/>
  <c r="BS2" i="1"/>
  <c r="BS3" i="1" s="1"/>
  <c r="BT2" i="1"/>
  <c r="BT3" i="1" s="1"/>
  <c r="BU2" i="1"/>
  <c r="BU3" i="1" s="1"/>
  <c r="BV2" i="1"/>
  <c r="BV3" i="1" s="1"/>
  <c r="BW2" i="1"/>
  <c r="BW3" i="1" s="1"/>
  <c r="BX2" i="1"/>
  <c r="BX3" i="1" s="1"/>
  <c r="BY2" i="1"/>
  <c r="BY3" i="1" s="1"/>
  <c r="BZ2" i="1"/>
  <c r="BZ3" i="1" s="1"/>
  <c r="CA2" i="1"/>
  <c r="CA3" i="1" s="1"/>
  <c r="CB2" i="1"/>
  <c r="CB3" i="1" s="1"/>
  <c r="CC2" i="1"/>
  <c r="CC3" i="1" s="1"/>
  <c r="CD2" i="1"/>
  <c r="CD3" i="1" s="1"/>
  <c r="CE2" i="1"/>
  <c r="CE3" i="1" s="1"/>
  <c r="CF2" i="1"/>
  <c r="CF3" i="1" s="1"/>
  <c r="CG2" i="1"/>
  <c r="CG3" i="1" s="1"/>
  <c r="BE2" i="1"/>
  <c r="BE3" i="1" s="1"/>
  <c r="BF2" i="1"/>
  <c r="BF3" i="1" s="1"/>
  <c r="BG2" i="1"/>
  <c r="BG3" i="1" s="1"/>
  <c r="BI2" i="1"/>
  <c r="BI3" i="1" s="1"/>
  <c r="BJ2" i="1"/>
  <c r="BJ3" i="1" s="1"/>
  <c r="BK2" i="1"/>
  <c r="BK3" i="1" s="1"/>
  <c r="BL2" i="1"/>
  <c r="BL3" i="1" s="1"/>
  <c r="BM2" i="1"/>
  <c r="BM3" i="1" s="1"/>
  <c r="AO2" i="1"/>
  <c r="AO3" i="1" s="1"/>
  <c r="AP2" i="1"/>
  <c r="AP3" i="1" s="1"/>
  <c r="AQ2" i="1"/>
  <c r="AQ3" i="1" s="1"/>
  <c r="AR2" i="1"/>
  <c r="AR3" i="1" s="1"/>
  <c r="AS2" i="1"/>
  <c r="AS3" i="1" s="1"/>
  <c r="AT2" i="1"/>
  <c r="AT3" i="1" s="1"/>
  <c r="AU2" i="1"/>
  <c r="AU3" i="1" s="1"/>
  <c r="AV2" i="1"/>
  <c r="AV3" i="1" s="1"/>
  <c r="AW2" i="1"/>
  <c r="AW3" i="1" s="1"/>
  <c r="AX2" i="1"/>
  <c r="AX3" i="1" s="1"/>
  <c r="AZ2" i="1"/>
  <c r="AZ3" i="1" s="1"/>
  <c r="BA2" i="1"/>
  <c r="BA3" i="1" s="1"/>
  <c r="BB2" i="1"/>
  <c r="BB3" i="1" s="1"/>
  <c r="BC2" i="1"/>
  <c r="BC3" i="1" s="1"/>
  <c r="BD2" i="1"/>
  <c r="BD3" i="1" s="1"/>
  <c r="W2" i="1"/>
  <c r="W3" i="1" s="1"/>
  <c r="X2" i="1"/>
  <c r="X3" i="1" s="1"/>
  <c r="Y2" i="1"/>
  <c r="Y3" i="1" s="1"/>
  <c r="Z2" i="1"/>
  <c r="Z3" i="1" s="1"/>
  <c r="AA2" i="1"/>
  <c r="AA3" i="1" s="1"/>
  <c r="AB2" i="1"/>
  <c r="AB3" i="1" s="1"/>
  <c r="AC2" i="1"/>
  <c r="AC3" i="1" s="1"/>
  <c r="AD2" i="1"/>
  <c r="AD3" i="1" s="1"/>
  <c r="AE2" i="1"/>
  <c r="AF2" i="1"/>
  <c r="AF3" i="1" s="1"/>
  <c r="AG2" i="1"/>
  <c r="AH2" i="1"/>
  <c r="AH3" i="1" s="1"/>
  <c r="AI2" i="1"/>
  <c r="AI3" i="1" s="1"/>
  <c r="AJ2" i="1"/>
  <c r="AJ3" i="1" s="1"/>
  <c r="AK2" i="1"/>
  <c r="AL2" i="1"/>
  <c r="AM2" i="1"/>
  <c r="AM3" i="1" s="1"/>
  <c r="AQ50" i="1"/>
  <c r="AQ53" i="1" s="1"/>
  <c r="AE3" i="1" l="1"/>
  <c r="CD7" i="1" s="1"/>
  <c r="AL3" i="1"/>
  <c r="CU7" i="1" s="1"/>
  <c r="DK7" i="1"/>
  <c r="CT7" i="1"/>
  <c r="AK3" i="1"/>
  <c r="CE7" i="1" s="1"/>
  <c r="AG3" i="1"/>
  <c r="DJ7" i="1" s="1"/>
  <c r="AQ52" i="1"/>
  <c r="AQ54" i="1"/>
  <c r="DI7" i="1"/>
  <c r="CS7" i="1"/>
  <c r="CC7" i="1"/>
  <c r="DH7" i="1"/>
  <c r="CR7" i="1"/>
  <c r="CB7" i="1"/>
  <c r="AQ55" i="1"/>
  <c r="I4" i="1"/>
  <c r="K4" i="1" l="1"/>
  <c r="J4" i="1"/>
  <c r="L4" i="1"/>
  <c r="BI4" i="1"/>
  <c r="AZ4" i="1"/>
  <c r="AQ4" i="1"/>
  <c r="BJ4" i="1" s="1"/>
  <c r="X4" i="1"/>
  <c r="AF4" i="1" s="1"/>
  <c r="BW4" i="1" l="1"/>
  <c r="BZ4" i="1" s="1"/>
  <c r="AE4" i="1"/>
  <c r="DC4" i="1"/>
  <c r="DE4" i="1" s="1"/>
  <c r="AG4" i="1"/>
  <c r="CM4" i="1"/>
  <c r="AR4" i="1"/>
  <c r="BB4" i="1"/>
  <c r="BK4" i="1"/>
  <c r="AT4" i="1"/>
  <c r="CQ4" i="1"/>
  <c r="BL4" i="1"/>
  <c r="BA4" i="1"/>
  <c r="CN4" i="1"/>
  <c r="CP4" i="1"/>
  <c r="BC4" i="1"/>
  <c r="AS4" i="1"/>
  <c r="CO4" i="1"/>
  <c r="BY4" i="1" l="1"/>
  <c r="BX4" i="1"/>
  <c r="CA4" i="1"/>
  <c r="DF4" i="1"/>
  <c r="DD4" i="1"/>
  <c r="DG4" i="1"/>
  <c r="DL7" i="1" l="1"/>
  <c r="CV7" i="1"/>
  <c r="CW7" i="1" s="1"/>
  <c r="CF7" i="1"/>
  <c r="CG7" i="1" s="1"/>
  <c r="DM7" i="1" l="1"/>
  <c r="DH8" i="1"/>
  <c r="DJ8" i="1"/>
  <c r="DI8" i="1" l="1"/>
  <c r="DK8" i="1"/>
  <c r="CD8" i="1" l="1"/>
  <c r="CB8" i="1" l="1"/>
  <c r="AQ9" i="1"/>
  <c r="AQ10" i="1" s="1"/>
  <c r="AQ11" i="1" s="1"/>
  <c r="AQ12" i="1" s="1"/>
  <c r="AQ13" i="1" s="1"/>
  <c r="AQ14" i="1" s="1"/>
  <c r="AQ15" i="1" s="1"/>
  <c r="AQ16" i="1" s="1"/>
  <c r="AQ17" i="1" s="1"/>
  <c r="AQ18" i="1" s="1"/>
  <c r="AQ19" i="1" s="1"/>
  <c r="AQ20" i="1" s="1"/>
  <c r="AQ21" i="1" s="1"/>
  <c r="AQ22" i="1" s="1"/>
  <c r="AQ23" i="1" s="1"/>
  <c r="AQ24" i="1" s="1"/>
  <c r="AQ25" i="1" s="1"/>
  <c r="AQ26" i="1" s="1"/>
  <c r="AQ27" i="1" s="1"/>
  <c r="AQ28" i="1" s="1"/>
  <c r="AQ29" i="1" s="1"/>
  <c r="AQ30" i="1" s="1"/>
  <c r="AQ31" i="1" s="1"/>
  <c r="AQ32" i="1" s="1"/>
  <c r="AQ33" i="1" s="1"/>
  <c r="AQ34" i="1" s="1"/>
  <c r="AQ35" i="1" s="1"/>
  <c r="AQ36" i="1" s="1"/>
  <c r="AQ37" i="1" s="1"/>
  <c r="AQ38" i="1" s="1"/>
  <c r="AQ39" i="1" s="1"/>
  <c r="AQ40" i="1" s="1"/>
  <c r="AQ41" i="1" s="1"/>
  <c r="AQ42" i="1" s="1"/>
  <c r="AQ43" i="1" s="1"/>
  <c r="AQ44" i="1" s="1"/>
  <c r="AQ45" i="1" s="1"/>
  <c r="AZ9" i="1"/>
  <c r="AZ10" i="1" s="1"/>
  <c r="AZ11" i="1" s="1"/>
  <c r="AZ12" i="1" s="1"/>
  <c r="AZ13" i="1" s="1"/>
  <c r="AZ14" i="1" s="1"/>
  <c r="AZ15" i="1" s="1"/>
  <c r="AZ16" i="1" s="1"/>
  <c r="AZ17" i="1" s="1"/>
  <c r="AZ18" i="1" s="1"/>
  <c r="AZ19" i="1" s="1"/>
  <c r="BI9" i="1"/>
  <c r="BI10" i="1" s="1"/>
  <c r="BI11" i="1" s="1"/>
  <c r="BI12" i="1" s="1"/>
  <c r="BI13" i="1" s="1"/>
  <c r="BI14" i="1" s="1"/>
  <c r="BI15" i="1" s="1"/>
  <c r="BI16" i="1" s="1"/>
  <c r="BI17" i="1" s="1"/>
  <c r="BI18" i="1" s="1"/>
  <c r="BI19" i="1" s="1"/>
  <c r="CR8" i="1"/>
  <c r="CC8" i="1" l="1"/>
  <c r="CE8" i="1"/>
  <c r="AZ20" i="1"/>
  <c r="BI20" i="1"/>
  <c r="CT8" i="1"/>
  <c r="AZ21" i="1" l="1"/>
  <c r="BI21" i="1"/>
  <c r="CU8" i="1"/>
  <c r="CS8" i="1"/>
  <c r="AZ22" i="1" l="1"/>
  <c r="BI22" i="1"/>
  <c r="AZ23" i="1" l="1"/>
  <c r="BI23" i="1"/>
  <c r="AZ24" i="1" l="1"/>
  <c r="BI24" i="1"/>
  <c r="AZ25" i="1" l="1"/>
  <c r="BI25" i="1"/>
  <c r="AZ26" i="1" l="1"/>
  <c r="BI26" i="1"/>
  <c r="AZ27" i="1" l="1"/>
  <c r="BI27" i="1"/>
  <c r="AZ28" i="1" l="1"/>
  <c r="BI28" i="1"/>
  <c r="AZ29" i="1" l="1"/>
  <c r="BI29" i="1"/>
  <c r="AZ30" i="1" l="1"/>
  <c r="BI30" i="1"/>
  <c r="AZ31" i="1" l="1"/>
  <c r="BI31" i="1"/>
  <c r="BI32" i="1" s="1"/>
  <c r="BI33" i="1" s="1"/>
  <c r="BI34" i="1" s="1"/>
  <c r="BI35" i="1" s="1"/>
  <c r="BI36" i="1" s="1"/>
  <c r="BI37" i="1" s="1"/>
  <c r="BI38" i="1" s="1"/>
  <c r="BI39" i="1" s="1"/>
  <c r="BI40" i="1" s="1"/>
  <c r="BI41" i="1" s="1"/>
  <c r="BI42" i="1" s="1"/>
  <c r="BI43" i="1" s="1"/>
  <c r="BI44" i="1" s="1"/>
  <c r="BI45" i="1" s="1"/>
  <c r="AZ32" i="1" l="1"/>
  <c r="AZ33" i="1" l="1"/>
  <c r="AZ34" i="1" l="1"/>
  <c r="AZ35" i="1" l="1"/>
  <c r="AZ36" i="1" l="1"/>
  <c r="AZ37" i="1" l="1"/>
  <c r="AZ38" i="1" l="1"/>
  <c r="AZ39" i="1" l="1"/>
  <c r="AZ40" i="1" l="1"/>
  <c r="AZ41" i="1" l="1"/>
  <c r="AZ42" i="1" l="1"/>
  <c r="AZ43" i="1" l="1"/>
  <c r="AZ44" i="1" l="1"/>
  <c r="AZ45" i="1" l="1"/>
  <c r="J9" i="1" l="1"/>
  <c r="J10" i="1" l="1"/>
  <c r="J11" i="1" l="1"/>
  <c r="J12" i="1" l="1"/>
  <c r="J13" i="1" l="1"/>
  <c r="J14" i="1" l="1"/>
  <c r="J15" i="1" l="1"/>
  <c r="J16" i="1" l="1"/>
  <c r="J17" i="1" l="1"/>
  <c r="J18" i="1" l="1"/>
  <c r="J19" i="1" l="1"/>
  <c r="J20" i="1" l="1"/>
  <c r="J21" i="1" l="1"/>
  <c r="J22" i="1" l="1"/>
  <c r="J23" i="1" l="1"/>
  <c r="J24" i="1" l="1"/>
  <c r="J25" i="1" l="1"/>
  <c r="J26" i="1" l="1"/>
  <c r="J27" i="1" l="1"/>
  <c r="J28" i="1" l="1"/>
  <c r="J29" i="1" l="1"/>
  <c r="J30" i="1" l="1"/>
  <c r="L30" i="1" s="1"/>
  <c r="J31" i="1" l="1"/>
  <c r="L31" i="1" s="1"/>
  <c r="J32" i="1" l="1"/>
  <c r="L32" i="1" s="1"/>
  <c r="J33" i="1" l="1"/>
  <c r="L33" i="1" s="1"/>
  <c r="J34" i="1" l="1"/>
  <c r="L34" i="1" s="1"/>
  <c r="J35" i="1" l="1"/>
  <c r="L35" i="1" s="1"/>
  <c r="J36" i="1" l="1"/>
  <c r="L36" i="1" s="1"/>
  <c r="J37" i="1" l="1"/>
  <c r="L37" i="1" s="1"/>
  <c r="J38" i="1" l="1"/>
  <c r="L38" i="1" s="1"/>
  <c r="J39" i="1" l="1"/>
  <c r="L39" i="1" s="1"/>
  <c r="J40" i="1" l="1"/>
  <c r="L40" i="1" s="1"/>
  <c r="J41" i="1" l="1"/>
  <c r="L41" i="1" s="1"/>
  <c r="J42" i="1" l="1"/>
  <c r="L42" i="1" s="1"/>
  <c r="J43" i="1" l="1"/>
  <c r="L43" i="1" s="1"/>
  <c r="J44" i="1" l="1"/>
  <c r="L44" i="1" s="1"/>
  <c r="J45" i="1" l="1"/>
  <c r="L45" i="1" s="1"/>
  <c r="I5" i="1" l="1"/>
  <c r="J5" i="1" l="1"/>
  <c r="K5" i="1"/>
  <c r="V4" i="1"/>
  <c r="N4" i="1"/>
  <c r="L5" i="1"/>
  <c r="AQ5" i="1"/>
  <c r="P4" i="1"/>
  <c r="M4" i="1"/>
  <c r="S4" i="1"/>
  <c r="AZ5" i="1"/>
  <c r="O4" i="1"/>
  <c r="T4" i="1"/>
  <c r="BI5" i="1"/>
  <c r="Q4" i="1"/>
  <c r="X5" i="1"/>
  <c r="K32" i="1"/>
  <c r="K44" i="1"/>
  <c r="K41" i="1"/>
  <c r="K20" i="1"/>
  <c r="K34" i="1"/>
  <c r="K33" i="1"/>
  <c r="K22" i="1"/>
  <c r="K12" i="1"/>
  <c r="K39" i="1"/>
  <c r="K24" i="1"/>
  <c r="K29" i="1"/>
  <c r="K36" i="1"/>
  <c r="K40" i="1"/>
  <c r="K43" i="1"/>
  <c r="K25" i="1"/>
  <c r="K38" i="1"/>
  <c r="K28" i="1"/>
  <c r="K27" i="1"/>
  <c r="K13" i="1"/>
  <c r="K42" i="1"/>
  <c r="K11" i="1"/>
  <c r="K16" i="1"/>
  <c r="K10" i="1"/>
  <c r="K31" i="1"/>
  <c r="K8" i="1"/>
  <c r="K9" i="1"/>
  <c r="K37" i="1"/>
  <c r="K21" i="1"/>
  <c r="K18" i="1"/>
  <c r="K35" i="1"/>
  <c r="K45" i="1"/>
  <c r="K23" i="1"/>
  <c r="K26" i="1"/>
  <c r="K19" i="1"/>
  <c r="K30" i="1"/>
  <c r="K17" i="1"/>
  <c r="K15" i="1"/>
  <c r="K14" i="1"/>
  <c r="Z43" i="1"/>
  <c r="Z44" i="1"/>
  <c r="AT5" i="1" l="1"/>
  <c r="BJ5" i="1"/>
  <c r="AS5" i="1"/>
  <c r="BB5" i="1"/>
  <c r="BK5" i="1"/>
  <c r="BC5" i="1"/>
  <c r="AR5" i="1"/>
  <c r="BL5" i="1"/>
  <c r="BA5" i="1"/>
  <c r="AF5" i="1"/>
  <c r="CM5" i="1"/>
  <c r="AE5" i="1"/>
  <c r="AG5" i="1"/>
  <c r="DC5" i="1"/>
  <c r="BW5" i="1"/>
  <c r="Z24" i="1"/>
  <c r="Z35" i="1"/>
  <c r="Z26" i="1"/>
  <c r="Z14" i="1"/>
  <c r="Z19" i="1"/>
  <c r="Z8" i="1"/>
  <c r="Z18" i="1"/>
  <c r="Z30" i="1"/>
  <c r="Z32" i="1"/>
  <c r="Z37" i="1"/>
  <c r="Z29" i="1"/>
  <c r="Z22" i="1"/>
  <c r="Z17" i="1"/>
  <c r="Z40" i="1"/>
  <c r="Z11" i="1"/>
  <c r="Z28" i="1"/>
  <c r="Z21" i="1"/>
  <c r="Z9" i="1"/>
  <c r="Z10" i="1"/>
  <c r="Z25" i="1"/>
  <c r="Z15" i="1"/>
  <c r="Z23" i="1"/>
  <c r="Z45" i="1"/>
  <c r="Z31" i="1"/>
  <c r="Z34" i="1"/>
  <c r="Z39" i="1"/>
  <c r="Z27" i="1"/>
  <c r="Z12" i="1"/>
  <c r="Z38" i="1"/>
  <c r="Z41" i="1"/>
  <c r="Z42" i="1"/>
  <c r="Z33" i="1"/>
  <c r="Z16" i="1"/>
  <c r="Z36" i="1"/>
  <c r="CA5" i="1" l="1"/>
  <c r="BZ5" i="1"/>
  <c r="BY5" i="1"/>
  <c r="BX5" i="1"/>
  <c r="CO5" i="1"/>
  <c r="CN5" i="1"/>
  <c r="CP5" i="1"/>
  <c r="CQ5" i="1"/>
  <c r="DE5" i="1"/>
  <c r="DG5" i="1"/>
  <c r="DF5" i="1"/>
  <c r="DD5" i="1"/>
  <c r="X45" i="1"/>
  <c r="X31" i="1"/>
  <c r="AB10" i="1"/>
  <c r="X21" i="1"/>
  <c r="X34" i="1"/>
  <c r="Y13" i="1"/>
  <c r="X20" i="1"/>
  <c r="X33" i="1"/>
  <c r="X10" i="1"/>
  <c r="AC9" i="1"/>
  <c r="X16" i="1"/>
  <c r="Y12" i="1"/>
  <c r="X14" i="1"/>
  <c r="X12" i="1"/>
  <c r="X39" i="1"/>
  <c r="Y11" i="1"/>
  <c r="X13" i="1"/>
  <c r="AB13" i="1"/>
  <c r="AA9" i="1"/>
  <c r="X30" i="1"/>
  <c r="X8" i="1"/>
  <c r="X9" i="1"/>
  <c r="Z13" i="1"/>
  <c r="X41" i="1"/>
  <c r="AC10" i="1"/>
  <c r="X37" i="1"/>
  <c r="X43" i="1"/>
  <c r="X42" i="1"/>
  <c r="X18" i="1"/>
  <c r="AC12" i="1"/>
  <c r="X17" i="1"/>
  <c r="X36" i="1"/>
  <c r="X26" i="1"/>
  <c r="X27" i="1"/>
  <c r="X11" i="1"/>
  <c r="X25" i="1"/>
  <c r="X32" i="1"/>
  <c r="X23" i="1"/>
  <c r="X15" i="1"/>
  <c r="X19" i="1"/>
  <c r="AA8" i="1"/>
  <c r="X29" i="1"/>
  <c r="X40" i="1"/>
  <c r="X38" i="1"/>
  <c r="X28" i="1"/>
  <c r="X24" i="1"/>
  <c r="AC13" i="1"/>
  <c r="AB9" i="1"/>
  <c r="AB8" i="1"/>
  <c r="X35" i="1"/>
  <c r="X22" i="1"/>
  <c r="Z20" i="1"/>
  <c r="X44" i="1"/>
  <c r="W9" i="1" l="1"/>
  <c r="W8" i="1"/>
  <c r="AH9" i="1"/>
  <c r="AI9" i="1" s="1"/>
  <c r="AE9" i="1" s="1"/>
  <c r="AS9" i="1"/>
  <c r="BK9" i="1"/>
  <c r="BB9" i="1"/>
  <c r="AG9" i="1"/>
  <c r="BL9" i="1" s="1"/>
  <c r="AM10" i="1"/>
  <c r="BK10" i="1"/>
  <c r="AS10" i="1"/>
  <c r="BB10" i="1"/>
  <c r="AG10" i="1"/>
  <c r="BL10" i="1" s="1"/>
  <c r="BK12" i="1"/>
  <c r="AS12" i="1"/>
  <c r="BB12" i="1"/>
  <c r="BK13" i="1"/>
  <c r="AS13" i="1"/>
  <c r="BB13" i="1"/>
  <c r="AG13" i="1"/>
  <c r="BL13" i="1" s="1"/>
  <c r="BK8" i="1"/>
  <c r="AM8" i="1"/>
  <c r="AK8" i="1"/>
  <c r="AL8" i="1"/>
  <c r="AS8" i="1"/>
  <c r="BB8" i="1"/>
  <c r="AH8" i="1"/>
  <c r="AD9" i="1"/>
  <c r="AD10" i="1"/>
  <c r="AD13" i="1"/>
  <c r="AB12" i="1"/>
  <c r="CO8" i="1"/>
  <c r="CV8" i="1"/>
  <c r="DE8" i="1"/>
  <c r="DL8" i="1"/>
  <c r="CF8" i="1"/>
  <c r="CD9" i="1" l="1"/>
  <c r="CG8" i="1"/>
  <c r="CB9" i="1"/>
  <c r="DJ9" i="1"/>
  <c r="DH9" i="1"/>
  <c r="DM8" i="1"/>
  <c r="DF8" i="1"/>
  <c r="CP8" i="1"/>
  <c r="CT9" i="1"/>
  <c r="CR9" i="1"/>
  <c r="CW8" i="1"/>
  <c r="W10" i="1"/>
  <c r="W11" i="1" s="1"/>
  <c r="W12" i="1" s="1"/>
  <c r="W13" i="1" s="1"/>
  <c r="W14" i="1" s="1"/>
  <c r="W15" i="1" s="1"/>
  <c r="W16" i="1" s="1"/>
  <c r="W17" i="1" s="1"/>
  <c r="W18" i="1" s="1"/>
  <c r="W19" i="1" s="1"/>
  <c r="W20" i="1" s="1"/>
  <c r="W21" i="1" s="1"/>
  <c r="W22" i="1" s="1"/>
  <c r="W23" i="1" s="1"/>
  <c r="W24" i="1" s="1"/>
  <c r="W25" i="1" s="1"/>
  <c r="W26" i="1" s="1"/>
  <c r="W27" i="1" s="1"/>
  <c r="W28" i="1" s="1"/>
  <c r="W29" i="1" s="1"/>
  <c r="W30" i="1" s="1"/>
  <c r="W31" i="1" s="1"/>
  <c r="W32" i="1" s="1"/>
  <c r="W33" i="1" s="1"/>
  <c r="W34" i="1" s="1"/>
  <c r="W35" i="1" s="1"/>
  <c r="W36" i="1" s="1"/>
  <c r="W37" i="1" s="1"/>
  <c r="W38" i="1" s="1"/>
  <c r="W39" i="1" s="1"/>
  <c r="W40" i="1" s="1"/>
  <c r="W41" i="1" s="1"/>
  <c r="W42" i="1" s="1"/>
  <c r="W43" i="1" s="1"/>
  <c r="W44" i="1" s="1"/>
  <c r="W45" i="1" s="1"/>
  <c r="AG12" i="1"/>
  <c r="BL12" i="1" s="1"/>
  <c r="AD12" i="1"/>
  <c r="AA40" i="1"/>
  <c r="Y20" i="1"/>
  <c r="AA45" i="1"/>
  <c r="AC16" i="1"/>
  <c r="Y37" i="1"/>
  <c r="AB27" i="1"/>
  <c r="AA31" i="1"/>
  <c r="AB24" i="1"/>
  <c r="AA21" i="1"/>
  <c r="AA22" i="1"/>
  <c r="AA34" i="1"/>
  <c r="AB20" i="1"/>
  <c r="Y25" i="1"/>
  <c r="Y15" i="1"/>
  <c r="AC15" i="1"/>
  <c r="AC29" i="1"/>
  <c r="AC38" i="1"/>
  <c r="AA15" i="1"/>
  <c r="AB40" i="1"/>
  <c r="Y36" i="1"/>
  <c r="AB37" i="1"/>
  <c r="Y40" i="1"/>
  <c r="AC33" i="1"/>
  <c r="AA24" i="1"/>
  <c r="AB25" i="1"/>
  <c r="AC32" i="1"/>
  <c r="Y33" i="1"/>
  <c r="Y41" i="1"/>
  <c r="AC20" i="1"/>
  <c r="AC21" i="1"/>
  <c r="AA29" i="1"/>
  <c r="Y27" i="1"/>
  <c r="AB41" i="1"/>
  <c r="AB39" i="1"/>
  <c r="Y42" i="1"/>
  <c r="AC34" i="1"/>
  <c r="Y29" i="1"/>
  <c r="CO9" i="1"/>
  <c r="AA12" i="1"/>
  <c r="AA27" i="1"/>
  <c r="BY8" i="1"/>
  <c r="AB16" i="1"/>
  <c r="Y17" i="1"/>
  <c r="AA33" i="1"/>
  <c r="Y39" i="1"/>
  <c r="DE9" i="1"/>
  <c r="AC44" i="1"/>
  <c r="BY9" i="1"/>
  <c r="AA25" i="1"/>
  <c r="AA41" i="1"/>
  <c r="AA11" i="1"/>
  <c r="AC25" i="1"/>
  <c r="AC31" i="1"/>
  <c r="AB35" i="1"/>
  <c r="Y32" i="1"/>
  <c r="AA42" i="1"/>
  <c r="Y45" i="1"/>
  <c r="AB18" i="1"/>
  <c r="AA23" i="1"/>
  <c r="AA32" i="1"/>
  <c r="AB11" i="1"/>
  <c r="AA37" i="1"/>
  <c r="AC24" i="1"/>
  <c r="AC35" i="1"/>
  <c r="BK45" i="1" l="1"/>
  <c r="AH45" i="1"/>
  <c r="AI45" i="1" s="1"/>
  <c r="AJ45" i="1" s="1"/>
  <c r="BB45" i="1"/>
  <c r="AS45" i="1"/>
  <c r="BK11" i="1"/>
  <c r="BB11" i="1"/>
  <c r="AH11" i="1"/>
  <c r="AI11" i="1" s="1"/>
  <c r="AJ11" i="1" s="1"/>
  <c r="AS11" i="1"/>
  <c r="AS41" i="1"/>
  <c r="BK41" i="1"/>
  <c r="AH41" i="1"/>
  <c r="AI41" i="1" s="1"/>
  <c r="AJ41" i="1" s="1"/>
  <c r="BB41" i="1"/>
  <c r="AS25" i="1"/>
  <c r="BB25" i="1"/>
  <c r="BK25" i="1"/>
  <c r="AG25" i="1"/>
  <c r="BL25" i="1" s="1"/>
  <c r="AH25" i="1"/>
  <c r="AI25" i="1" s="1"/>
  <c r="AJ25" i="1" s="1"/>
  <c r="BB30" i="1"/>
  <c r="BK30" i="1"/>
  <c r="AS30" i="1"/>
  <c r="BB14" i="1"/>
  <c r="BK14" i="1"/>
  <c r="AS14" i="1"/>
  <c r="AH15" i="1"/>
  <c r="AI15" i="1" s="1"/>
  <c r="AS15" i="1"/>
  <c r="BB15" i="1"/>
  <c r="BK15" i="1"/>
  <c r="AD20" i="1"/>
  <c r="AD16" i="1"/>
  <c r="AH12" i="1"/>
  <c r="AI12" i="1" s="1"/>
  <c r="BK31" i="1"/>
  <c r="BB31" i="1"/>
  <c r="AS31" i="1"/>
  <c r="AH31" i="1"/>
  <c r="AI31" i="1" s="1"/>
  <c r="AJ31" i="1" s="1"/>
  <c r="AS26" i="1"/>
  <c r="BB26" i="1"/>
  <c r="BK26" i="1"/>
  <c r="BK36" i="1"/>
  <c r="AS36" i="1"/>
  <c r="BB36" i="1"/>
  <c r="AH27" i="1"/>
  <c r="AI27" i="1" s="1"/>
  <c r="AJ27" i="1" s="1"/>
  <c r="BK27" i="1"/>
  <c r="BB27" i="1"/>
  <c r="AS27" i="1"/>
  <c r="BB42" i="1"/>
  <c r="AH42" i="1"/>
  <c r="AI42" i="1" s="1"/>
  <c r="AJ42" i="1" s="1"/>
  <c r="AS42" i="1"/>
  <c r="BK42" i="1"/>
  <c r="AS29" i="1"/>
  <c r="AH29" i="1"/>
  <c r="AI29" i="1" s="1"/>
  <c r="AJ29" i="1" s="1"/>
  <c r="BB29" i="1"/>
  <c r="BK29" i="1"/>
  <c r="BB43" i="1"/>
  <c r="BK43" i="1"/>
  <c r="AS43" i="1"/>
  <c r="AD25" i="1"/>
  <c r="BK32" i="1"/>
  <c r="AS32" i="1"/>
  <c r="AH32" i="1"/>
  <c r="AI32" i="1" s="1"/>
  <c r="BB32" i="1"/>
  <c r="AD35" i="1"/>
  <c r="AS39" i="1"/>
  <c r="BK39" i="1"/>
  <c r="BB39" i="1"/>
  <c r="AS44" i="1"/>
  <c r="BK44" i="1"/>
  <c r="BB44" i="1"/>
  <c r="BB33" i="1"/>
  <c r="BK33" i="1"/>
  <c r="AS33" i="1"/>
  <c r="AH33" i="1"/>
  <c r="AI33" i="1" s="1"/>
  <c r="AJ33" i="1" s="1"/>
  <c r="BB38" i="1"/>
  <c r="BK38" i="1"/>
  <c r="AS38" i="1"/>
  <c r="BB23" i="1"/>
  <c r="AH23" i="1"/>
  <c r="AS23" i="1"/>
  <c r="BK23" i="1"/>
  <c r="BB40" i="1"/>
  <c r="AS40" i="1"/>
  <c r="BK40" i="1"/>
  <c r="AH40" i="1"/>
  <c r="AI40" i="1" s="1"/>
  <c r="AJ40" i="1" s="1"/>
  <c r="AS16" i="1"/>
  <c r="AG16" i="1"/>
  <c r="BL16" i="1" s="1"/>
  <c r="BK16" i="1"/>
  <c r="BB16" i="1"/>
  <c r="BB19" i="1"/>
  <c r="BK19" i="1"/>
  <c r="AS19" i="1"/>
  <c r="AS17" i="1"/>
  <c r="BB17" i="1"/>
  <c r="BK17" i="1"/>
  <c r="BB37" i="1"/>
  <c r="AS37" i="1"/>
  <c r="AH37" i="1"/>
  <c r="AI37" i="1" s="1"/>
  <c r="AJ37" i="1" s="1"/>
  <c r="BK37" i="1"/>
  <c r="AH21" i="1"/>
  <c r="AI21" i="1" s="1"/>
  <c r="AJ21" i="1" s="1"/>
  <c r="BB21" i="1"/>
  <c r="BK21" i="1"/>
  <c r="AS21" i="1"/>
  <c r="BK34" i="1"/>
  <c r="AS34" i="1"/>
  <c r="AH34" i="1"/>
  <c r="AI34" i="1" s="1"/>
  <c r="AJ34" i="1" s="1"/>
  <c r="BB34" i="1"/>
  <c r="BB28" i="1"/>
  <c r="BK28" i="1"/>
  <c r="AS28" i="1"/>
  <c r="BK24" i="1"/>
  <c r="AG24" i="1"/>
  <c r="BL24" i="1" s="1"/>
  <c r="AH24" i="1"/>
  <c r="AI24" i="1" s="1"/>
  <c r="AJ24" i="1" s="1"/>
  <c r="BB24" i="1"/>
  <c r="AS24" i="1"/>
  <c r="AD24" i="1"/>
  <c r="AG35" i="1"/>
  <c r="BL35" i="1" s="1"/>
  <c r="BK35" i="1"/>
  <c r="BB35" i="1"/>
  <c r="AS35" i="1"/>
  <c r="AH22" i="1"/>
  <c r="BK22" i="1"/>
  <c r="BB22" i="1"/>
  <c r="AS22" i="1"/>
  <c r="BK20" i="1"/>
  <c r="AS20" i="1"/>
  <c r="BB20" i="1"/>
  <c r="AG20" i="1"/>
  <c r="BL20" i="1" s="1"/>
  <c r="BB18" i="1"/>
  <c r="AS18" i="1"/>
  <c r="BK18" i="1"/>
  <c r="BZ8" i="1"/>
  <c r="AF9" i="1"/>
  <c r="AJ9" i="1"/>
  <c r="CC9" i="1"/>
  <c r="CE9" i="1"/>
  <c r="DK9" i="1"/>
  <c r="DI9" i="1"/>
  <c r="AI8" i="1"/>
  <c r="CU9" i="1"/>
  <c r="CS9" i="1"/>
  <c r="AA26" i="1"/>
  <c r="AB45" i="1"/>
  <c r="AB34" i="1"/>
  <c r="AA28" i="1"/>
  <c r="AA39" i="1"/>
  <c r="AC22" i="1"/>
  <c r="Y24" i="1"/>
  <c r="AB30" i="1"/>
  <c r="AB33" i="1"/>
  <c r="Y34" i="1"/>
  <c r="AC42" i="1"/>
  <c r="AA35" i="1"/>
  <c r="AB22" i="1"/>
  <c r="AA30" i="1"/>
  <c r="AA44" i="1"/>
  <c r="AB36" i="1"/>
  <c r="Y31" i="1"/>
  <c r="AA36" i="1"/>
  <c r="AC19" i="1"/>
  <c r="AC37" i="1"/>
  <c r="AC30" i="1"/>
  <c r="AB23" i="1"/>
  <c r="Y26" i="1"/>
  <c r="AC39" i="1"/>
  <c r="AA43" i="1"/>
  <c r="AC23" i="1"/>
  <c r="Y35" i="1"/>
  <c r="AC36" i="1"/>
  <c r="AB19" i="1"/>
  <c r="AC27" i="1"/>
  <c r="Y30" i="1"/>
  <c r="DL9" i="1"/>
  <c r="AC11" i="1"/>
  <c r="AC41" i="1"/>
  <c r="Y44" i="1"/>
  <c r="AB43" i="1"/>
  <c r="AC17" i="1"/>
  <c r="Y28" i="1"/>
  <c r="Y14" i="1"/>
  <c r="AB38" i="1"/>
  <c r="AC40" i="1"/>
  <c r="AB44" i="1"/>
  <c r="AC28" i="1"/>
  <c r="AB26" i="1"/>
  <c r="AC45" i="1"/>
  <c r="AB29" i="1"/>
  <c r="Y43" i="1"/>
  <c r="AB42" i="1"/>
  <c r="Y38" i="1"/>
  <c r="AB21" i="1"/>
  <c r="AB31" i="1"/>
  <c r="AC43" i="1"/>
  <c r="AC26" i="1"/>
  <c r="AA38" i="1"/>
  <c r="AB28" i="1"/>
  <c r="AB32" i="1"/>
  <c r="AC8" i="1"/>
  <c r="AE45" i="1" l="1"/>
  <c r="AE42" i="1"/>
  <c r="AE41" i="1"/>
  <c r="AE40" i="1"/>
  <c r="AE37" i="1"/>
  <c r="AE34" i="1"/>
  <c r="AE33" i="1"/>
  <c r="AE32" i="1"/>
  <c r="AE31" i="1"/>
  <c r="AE29" i="1"/>
  <c r="AE27" i="1"/>
  <c r="AE25" i="1"/>
  <c r="AE24" i="1"/>
  <c r="AG8" i="1"/>
  <c r="BL8" i="1" s="1"/>
  <c r="AL9" i="1"/>
  <c r="AD8" i="1"/>
  <c r="AF8" i="1"/>
  <c r="BC8" i="1" s="1"/>
  <c r="CQ8" i="1"/>
  <c r="AA13" i="1"/>
  <c r="CF9" i="1"/>
  <c r="AA17" i="1"/>
  <c r="AC18" i="1"/>
  <c r="AA16" i="1"/>
  <c r="AC14" i="1"/>
  <c r="AA19" i="1"/>
  <c r="AA10" i="1"/>
  <c r="Y16" i="1"/>
  <c r="AA18" i="1"/>
  <c r="AB14" i="1"/>
  <c r="AB15" i="1"/>
  <c r="CV9" i="1"/>
  <c r="DU10" i="1" l="1"/>
  <c r="AE11" i="1"/>
  <c r="AT11" i="1" s="1"/>
  <c r="AE15" i="1"/>
  <c r="AT15" i="1" s="1"/>
  <c r="AE21" i="1"/>
  <c r="AJ12" i="1"/>
  <c r="AE12" i="1"/>
  <c r="AT12" i="1" s="1"/>
  <c r="AK9" i="1"/>
  <c r="AE8" i="1"/>
  <c r="AM16" i="1"/>
  <c r="AM42" i="1"/>
  <c r="AM44" i="1"/>
  <c r="AH43" i="1"/>
  <c r="AI43" i="1" s="1"/>
  <c r="AK43" i="1" s="1"/>
  <c r="AG36" i="1"/>
  <c r="BL36" i="1" s="1"/>
  <c r="AH16" i="1"/>
  <c r="AI16" i="1" s="1"/>
  <c r="AG26" i="1"/>
  <c r="BL26" i="1" s="1"/>
  <c r="AD40" i="1"/>
  <c r="AG40" i="1"/>
  <c r="BL40" i="1" s="1"/>
  <c r="AG43" i="1"/>
  <c r="BL43" i="1" s="1"/>
  <c r="AD36" i="1"/>
  <c r="AM36" i="1"/>
  <c r="AG38" i="1"/>
  <c r="BL38" i="1" s="1"/>
  <c r="AD38" i="1"/>
  <c r="AD28" i="1"/>
  <c r="AM20" i="1"/>
  <c r="AG19" i="1"/>
  <c r="BL19" i="1" s="1"/>
  <c r="AD19" i="1"/>
  <c r="AG15" i="1"/>
  <c r="BL15" i="1" s="1"/>
  <c r="AD15" i="1"/>
  <c r="AD45" i="1"/>
  <c r="AD34" i="1"/>
  <c r="AG34" i="1"/>
  <c r="BL34" i="1" s="1"/>
  <c r="AG22" i="1"/>
  <c r="BL22" i="1" s="1"/>
  <c r="AH36" i="1"/>
  <c r="AI36" i="1" s="1"/>
  <c r="AH30" i="1"/>
  <c r="AF30" i="1" s="1"/>
  <c r="BC30" i="1" s="1"/>
  <c r="AH28" i="1"/>
  <c r="AI28" i="1" s="1"/>
  <c r="AH38" i="1"/>
  <c r="AI38" i="1" s="1"/>
  <c r="AH44" i="1"/>
  <c r="AI44" i="1" s="1"/>
  <c r="AD22" i="1"/>
  <c r="AD33" i="1"/>
  <c r="AM34" i="1"/>
  <c r="AG33" i="1"/>
  <c r="BL33" i="1" s="1"/>
  <c r="AH18" i="1"/>
  <c r="AF18" i="1" s="1"/>
  <c r="BC18" i="1" s="1"/>
  <c r="AD23" i="1"/>
  <c r="AM24" i="1"/>
  <c r="AG32" i="1"/>
  <c r="BL32" i="1" s="1"/>
  <c r="AD32" i="1"/>
  <c r="AG23" i="1"/>
  <c r="BL23" i="1" s="1"/>
  <c r="AD18" i="1"/>
  <c r="AG18" i="1"/>
  <c r="BL18" i="1" s="1"/>
  <c r="AD41" i="1"/>
  <c r="AG41" i="1"/>
  <c r="BL41" i="1" s="1"/>
  <c r="AG28" i="1"/>
  <c r="BL28" i="1" s="1"/>
  <c r="AH35" i="1"/>
  <c r="AI35" i="1" s="1"/>
  <c r="AH19" i="1"/>
  <c r="AI19" i="1" s="1"/>
  <c r="AE19" i="1" s="1"/>
  <c r="AD21" i="1"/>
  <c r="AG21" i="1"/>
  <c r="BL21" i="1" s="1"/>
  <c r="AM22" i="1"/>
  <c r="AD42" i="1"/>
  <c r="AG42" i="1"/>
  <c r="BL42" i="1" s="1"/>
  <c r="AM14" i="1"/>
  <c r="AD14" i="1"/>
  <c r="AG30" i="1"/>
  <c r="BL30" i="1" s="1"/>
  <c r="AG45" i="1"/>
  <c r="BL45" i="1" s="1"/>
  <c r="AF45" i="1"/>
  <c r="BC45" i="1" s="1"/>
  <c r="AD39" i="1"/>
  <c r="AG39" i="1"/>
  <c r="BL39" i="1" s="1"/>
  <c r="AM40" i="1"/>
  <c r="AM12" i="1"/>
  <c r="AD11" i="1"/>
  <c r="AG11" i="1"/>
  <c r="AD31" i="1"/>
  <c r="AG31" i="1"/>
  <c r="BL31" i="1" s="1"/>
  <c r="AM32" i="1"/>
  <c r="AD30" i="1"/>
  <c r="AH39" i="1"/>
  <c r="AI39" i="1" s="1"/>
  <c r="AH10" i="1"/>
  <c r="AI10" i="1" s="1"/>
  <c r="AD26" i="1"/>
  <c r="AM26" i="1"/>
  <c r="AG37" i="1"/>
  <c r="BL37" i="1" s="1"/>
  <c r="AM38" i="1"/>
  <c r="AD37" i="1"/>
  <c r="AG44" i="1"/>
  <c r="BL44" i="1" s="1"/>
  <c r="AD44" i="1"/>
  <c r="AH17" i="1"/>
  <c r="AF17" i="1" s="1"/>
  <c r="BC17" i="1" s="1"/>
  <c r="AG14" i="1"/>
  <c r="BL14" i="1" s="1"/>
  <c r="AH26" i="1"/>
  <c r="AI26" i="1" s="1"/>
  <c r="AH13" i="1"/>
  <c r="AI13" i="1" s="1"/>
  <c r="AD43" i="1"/>
  <c r="AG27" i="1"/>
  <c r="BL27" i="1" s="1"/>
  <c r="AM28" i="1"/>
  <c r="AT27" i="1"/>
  <c r="AD27" i="1"/>
  <c r="AD29" i="1"/>
  <c r="AG29" i="1"/>
  <c r="BL29" i="1" s="1"/>
  <c r="AM30" i="1"/>
  <c r="AK32" i="1"/>
  <c r="AL32" i="1"/>
  <c r="AL22" i="1"/>
  <c r="AK42" i="1"/>
  <c r="AL42" i="1"/>
  <c r="AF31" i="1"/>
  <c r="BC31" i="1" s="1"/>
  <c r="AF29" i="1"/>
  <c r="BC29" i="1" s="1"/>
  <c r="AT45" i="1"/>
  <c r="AT33" i="1"/>
  <c r="AT31" i="1"/>
  <c r="AJ32" i="1"/>
  <c r="AM33" i="1" s="1"/>
  <c r="AF32" i="1"/>
  <c r="BC32" i="1" s="1"/>
  <c r="AL34" i="1"/>
  <c r="AK34" i="1"/>
  <c r="AF33" i="1"/>
  <c r="BC33" i="1" s="1"/>
  <c r="AL33" i="1"/>
  <c r="AF15" i="1"/>
  <c r="BC15" i="1" s="1"/>
  <c r="AK12" i="1"/>
  <c r="AF21" i="1"/>
  <c r="BC21" i="1" s="1"/>
  <c r="AL12" i="1"/>
  <c r="AL24" i="1"/>
  <c r="AF27" i="1"/>
  <c r="BC27" i="1" s="1"/>
  <c r="AF42" i="1"/>
  <c r="BC42" i="1" s="1"/>
  <c r="AM25" i="1"/>
  <c r="AK33" i="1"/>
  <c r="AJ15" i="1"/>
  <c r="AK25" i="1"/>
  <c r="AF37" i="1"/>
  <c r="BC37" i="1" s="1"/>
  <c r="AF40" i="1"/>
  <c r="BC40" i="1" s="1"/>
  <c r="AM41" i="1"/>
  <c r="AF12" i="1"/>
  <c r="BC12" i="1" s="1"/>
  <c r="AL41" i="1"/>
  <c r="AF34" i="1"/>
  <c r="BC34" i="1" s="1"/>
  <c r="AF41" i="1"/>
  <c r="BC41" i="1" s="1"/>
  <c r="AF24" i="1"/>
  <c r="BC24" i="1" s="1"/>
  <c r="AK41" i="1"/>
  <c r="AL25" i="1"/>
  <c r="AF25" i="1"/>
  <c r="BC25" i="1" s="1"/>
  <c r="AF11" i="1"/>
  <c r="AI23" i="1"/>
  <c r="AF22" i="1"/>
  <c r="BC22" i="1" s="1"/>
  <c r="AI22" i="1"/>
  <c r="AE22" i="1" s="1"/>
  <c r="AL23" i="1"/>
  <c r="AF23" i="1"/>
  <c r="BC23" i="1" s="1"/>
  <c r="BC9" i="1"/>
  <c r="DH10" i="1"/>
  <c r="DJ10" i="1"/>
  <c r="DM9" i="1"/>
  <c r="DF9" i="1"/>
  <c r="CR10" i="1"/>
  <c r="CT10" i="1"/>
  <c r="CW9" i="1"/>
  <c r="CP9" i="1"/>
  <c r="CB10" i="1"/>
  <c r="CD10" i="1"/>
  <c r="CG9" i="1"/>
  <c r="BZ9" i="1"/>
  <c r="AT9" i="1"/>
  <c r="AJ8" i="1"/>
  <c r="AM9" i="1" s="1"/>
  <c r="CO10" i="1"/>
  <c r="DG8" i="1"/>
  <c r="BY10" i="1"/>
  <c r="AB17" i="1"/>
  <c r="DE10" i="1"/>
  <c r="CA8" i="1"/>
  <c r="Y19" i="1"/>
  <c r="AA20" i="1"/>
  <c r="AA14" i="1"/>
  <c r="DT9" i="1" l="1"/>
  <c r="DU9" i="1" s="1"/>
  <c r="DT10" i="1"/>
  <c r="AL31" i="1"/>
  <c r="AL43" i="1"/>
  <c r="AK44" i="1"/>
  <c r="AF43" i="1"/>
  <c r="BC43" i="1" s="1"/>
  <c r="AE44" i="1"/>
  <c r="AT44" i="1" s="1"/>
  <c r="AJ43" i="1"/>
  <c r="AM43" i="1" s="1"/>
  <c r="AE43" i="1"/>
  <c r="AT43" i="1" s="1"/>
  <c r="AL28" i="1"/>
  <c r="AL30" i="1"/>
  <c r="AJ39" i="1"/>
  <c r="AE39" i="1"/>
  <c r="AT39" i="1" s="1"/>
  <c r="AJ38" i="1"/>
  <c r="AE38" i="1"/>
  <c r="AT38" i="1" s="1"/>
  <c r="AJ36" i="1"/>
  <c r="AM37" i="1" s="1"/>
  <c r="AE36" i="1"/>
  <c r="AT36" i="1" s="1"/>
  <c r="AE35" i="1"/>
  <c r="AT35" i="1" s="1"/>
  <c r="AI30" i="1"/>
  <c r="AE30" i="1" s="1"/>
  <c r="AT30" i="1" s="1"/>
  <c r="AE28" i="1"/>
  <c r="AT28" i="1" s="1"/>
  <c r="AE26" i="1"/>
  <c r="AT26" i="1" s="1"/>
  <c r="AL10" i="1"/>
  <c r="AM18" i="1"/>
  <c r="AG17" i="1"/>
  <c r="AD17" i="1"/>
  <c r="DV10" i="1" s="1"/>
  <c r="AH14" i="1"/>
  <c r="AH20" i="1"/>
  <c r="AI20" i="1" s="1"/>
  <c r="AE20" i="1" s="1"/>
  <c r="AT20" i="1" s="1"/>
  <c r="AL19" i="1"/>
  <c r="AE23" i="1"/>
  <c r="AT23" i="1" s="1"/>
  <c r="AE13" i="1"/>
  <c r="AT13" i="1" s="1"/>
  <c r="AE16" i="1"/>
  <c r="AK10" i="1"/>
  <c r="AE10" i="1"/>
  <c r="AT10" i="1" s="1"/>
  <c r="AT19" i="1"/>
  <c r="AI18" i="1"/>
  <c r="AE18" i="1" s="1"/>
  <c r="AK29" i="1"/>
  <c r="AK16" i="1"/>
  <c r="AL11" i="1"/>
  <c r="AK13" i="1"/>
  <c r="AL13" i="1"/>
  <c r="AK11" i="1"/>
  <c r="AL16" i="1"/>
  <c r="AL18" i="1"/>
  <c r="AL44" i="1"/>
  <c r="AL29" i="1"/>
  <c r="AK39" i="1"/>
  <c r="AK27" i="1"/>
  <c r="AL39" i="1"/>
  <c r="AF39" i="1"/>
  <c r="BC39" i="1" s="1"/>
  <c r="AL27" i="1"/>
  <c r="AK35" i="1"/>
  <c r="AL37" i="1"/>
  <c r="AL35" i="1"/>
  <c r="AK37" i="1"/>
  <c r="AF10" i="1"/>
  <c r="BC10" i="1" s="1"/>
  <c r="AJ13" i="1"/>
  <c r="AM13" i="1" s="1"/>
  <c r="AJ16" i="1"/>
  <c r="AL38" i="1"/>
  <c r="AK26" i="1"/>
  <c r="AK40" i="1"/>
  <c r="AF19" i="1"/>
  <c r="BC19" i="1" s="1"/>
  <c r="AF16" i="1"/>
  <c r="BC16" i="1" s="1"/>
  <c r="AJ19" i="1"/>
  <c r="AJ10" i="1"/>
  <c r="AM11" i="1" s="1"/>
  <c r="AF13" i="1"/>
  <c r="BC13" i="1" s="1"/>
  <c r="AF38" i="1"/>
  <c r="BC38" i="1" s="1"/>
  <c r="AK38" i="1"/>
  <c r="AF35" i="1"/>
  <c r="BC35" i="1" s="1"/>
  <c r="AJ44" i="1"/>
  <c r="AM45" i="1" s="1"/>
  <c r="AF36" i="1"/>
  <c r="BC36" i="1" s="1"/>
  <c r="AL36" i="1"/>
  <c r="AJ35" i="1"/>
  <c r="AM35" i="1" s="1"/>
  <c r="AK45" i="1"/>
  <c r="AT32" i="1"/>
  <c r="BL11" i="1"/>
  <c r="AF28" i="1"/>
  <c r="BC28" i="1" s="1"/>
  <c r="AI17" i="1"/>
  <c r="AE17" i="1" s="1"/>
  <c r="AF44" i="1"/>
  <c r="AF26" i="1"/>
  <c r="AL40" i="1"/>
  <c r="AJ28" i="1"/>
  <c r="AM29" i="1" s="1"/>
  <c r="AK28" i="1"/>
  <c r="AL17" i="1"/>
  <c r="AJ26" i="1"/>
  <c r="AM27" i="1" s="1"/>
  <c r="AK36" i="1"/>
  <c r="AL26" i="1"/>
  <c r="AL45" i="1"/>
  <c r="AK24" i="1"/>
  <c r="AT40" i="1"/>
  <c r="AT24" i="1"/>
  <c r="AT29" i="1"/>
  <c r="AJ22" i="1"/>
  <c r="AK22" i="1"/>
  <c r="AT42" i="1"/>
  <c r="AT21" i="1"/>
  <c r="AJ23" i="1"/>
  <c r="AK23" i="1"/>
  <c r="AT22" i="1"/>
  <c r="AT41" i="1"/>
  <c r="AT25" i="1"/>
  <c r="AT37" i="1"/>
  <c r="BC11" i="1"/>
  <c r="AT34" i="1"/>
  <c r="CE10" i="1"/>
  <c r="CC10" i="1"/>
  <c r="CS10" i="1"/>
  <c r="CU10" i="1"/>
  <c r="DI10" i="1"/>
  <c r="DK10" i="1"/>
  <c r="AT8" i="1"/>
  <c r="CA9" i="1"/>
  <c r="BJ44" i="1"/>
  <c r="BJ12" i="1"/>
  <c r="BJ16" i="1"/>
  <c r="BJ32" i="1"/>
  <c r="BJ31" i="1"/>
  <c r="BJ8" i="1"/>
  <c r="BJ13" i="1"/>
  <c r="BJ41" i="1"/>
  <c r="DG9" i="1"/>
  <c r="BJ29" i="1"/>
  <c r="DG10" i="1"/>
  <c r="CQ10" i="1"/>
  <c r="BJ18" i="1"/>
  <c r="BJ15" i="1"/>
  <c r="BJ34" i="1"/>
  <c r="BJ42" i="1"/>
  <c r="BJ24" i="1"/>
  <c r="CA10" i="1"/>
  <c r="BJ9" i="1"/>
  <c r="BJ43" i="1"/>
  <c r="BJ27" i="1"/>
  <c r="BJ21" i="1"/>
  <c r="BJ25" i="1"/>
  <c r="CV10" i="1"/>
  <c r="BJ45" i="1"/>
  <c r="CQ9" i="1"/>
  <c r="BJ40" i="1"/>
  <c r="BJ37" i="1"/>
  <c r="BJ33" i="1"/>
  <c r="BJ11" i="1"/>
  <c r="BJ19" i="1"/>
  <c r="CF10" i="1"/>
  <c r="DL10" i="1"/>
  <c r="DU8" i="1" l="1"/>
  <c r="AF14" i="1"/>
  <c r="BC14" i="1" s="1"/>
  <c r="AM39" i="1"/>
  <c r="AK30" i="1"/>
  <c r="AJ30" i="1"/>
  <c r="AM31" i="1" s="1"/>
  <c r="AK31" i="1"/>
  <c r="AL14" i="1"/>
  <c r="AK20" i="1"/>
  <c r="AK21" i="1"/>
  <c r="AL21" i="1"/>
  <c r="AL20" i="1"/>
  <c r="AJ20" i="1"/>
  <c r="AM21" i="1" s="1"/>
  <c r="AF20" i="1"/>
  <c r="AI14" i="1"/>
  <c r="DT8" i="1" s="1"/>
  <c r="AL15" i="1"/>
  <c r="BL17" i="1"/>
  <c r="AK19" i="1"/>
  <c r="AJ18" i="1"/>
  <c r="AM19" i="1" s="1"/>
  <c r="AT16" i="1"/>
  <c r="AK18" i="1"/>
  <c r="AJ17" i="1"/>
  <c r="AM17" i="1" s="1"/>
  <c r="BC44" i="1"/>
  <c r="AT17" i="1"/>
  <c r="AK17" i="1"/>
  <c r="BC26" i="1"/>
  <c r="AT18" i="1"/>
  <c r="AM23" i="1"/>
  <c r="DH11" i="1"/>
  <c r="DJ11" i="1"/>
  <c r="DM10" i="1"/>
  <c r="DF10" i="1"/>
  <c r="CR11" i="1"/>
  <c r="CT11" i="1"/>
  <c r="CW10" i="1"/>
  <c r="CP10" i="1"/>
  <c r="CB11" i="1"/>
  <c r="CD11" i="1"/>
  <c r="CG10" i="1"/>
  <c r="BZ10" i="1"/>
  <c r="BA31" i="1"/>
  <c r="BA44" i="1"/>
  <c r="BA36" i="1"/>
  <c r="BJ36" i="1"/>
  <c r="BJ28" i="1"/>
  <c r="BA26" i="1"/>
  <c r="BA20" i="1"/>
  <c r="BA15" i="1"/>
  <c r="BA32" i="1"/>
  <c r="BA33" i="1"/>
  <c r="BA27" i="1"/>
  <c r="BA9" i="1"/>
  <c r="BJ22" i="1"/>
  <c r="BA19" i="1"/>
  <c r="BA38" i="1"/>
  <c r="BA22" i="1"/>
  <c r="BA11" i="1"/>
  <c r="BA21" i="1"/>
  <c r="BA10" i="1"/>
  <c r="BJ23" i="1"/>
  <c r="BJ26" i="1"/>
  <c r="BA30" i="1"/>
  <c r="BJ20" i="1"/>
  <c r="BY11" i="1"/>
  <c r="BA34" i="1"/>
  <c r="BJ35" i="1"/>
  <c r="BA45" i="1"/>
  <c r="BJ17" i="1"/>
  <c r="BA37" i="1"/>
  <c r="BA40" i="1"/>
  <c r="BA43" i="1"/>
  <c r="BA16" i="1"/>
  <c r="BA25" i="1"/>
  <c r="BA29" i="1"/>
  <c r="BA17" i="1"/>
  <c r="BJ38" i="1"/>
  <c r="BA18" i="1"/>
  <c r="BA35" i="1"/>
  <c r="BA8" i="1"/>
  <c r="BJ39" i="1"/>
  <c r="BA41" i="1"/>
  <c r="BA12" i="1"/>
  <c r="BA42" i="1"/>
  <c r="BA23" i="1"/>
  <c r="BA28" i="1"/>
  <c r="BA39" i="1"/>
  <c r="BA13" i="1"/>
  <c r="BJ30" i="1"/>
  <c r="BA24" i="1"/>
  <c r="BJ10" i="1"/>
  <c r="DE11" i="1"/>
  <c r="CO11" i="1"/>
  <c r="BC20" i="1" l="1"/>
  <c r="AJ14" i="1"/>
  <c r="DV8" i="1" s="1"/>
  <c r="AK14" i="1"/>
  <c r="AK15" i="1"/>
  <c r="AE14" i="1"/>
  <c r="CE11" i="1"/>
  <c r="CC11" i="1"/>
  <c r="CS11" i="1"/>
  <c r="CU11" i="1"/>
  <c r="DK11" i="1"/>
  <c r="DI11" i="1"/>
  <c r="AR19" i="1"/>
  <c r="BP31" i="1"/>
  <c r="AR31" i="1"/>
  <c r="AR41" i="1"/>
  <c r="BN37" i="1"/>
  <c r="AR11" i="1"/>
  <c r="AR26" i="1"/>
  <c r="AR42" i="1"/>
  <c r="AR39" i="1"/>
  <c r="BG14" i="1"/>
  <c r="BE26" i="1"/>
  <c r="AR45" i="1"/>
  <c r="BP13" i="1"/>
  <c r="BF35" i="1"/>
  <c r="AR32" i="1"/>
  <c r="BP21" i="1"/>
  <c r="AR23" i="1"/>
  <c r="AR43" i="1"/>
  <c r="AR15" i="1"/>
  <c r="BO31" i="1"/>
  <c r="CV11" i="1"/>
  <c r="BE34" i="1"/>
  <c r="AR14" i="1"/>
  <c r="BN29" i="1"/>
  <c r="AR22" i="1"/>
  <c r="BO37" i="1"/>
  <c r="BN21" i="1"/>
  <c r="AR21" i="1"/>
  <c r="BE14" i="1"/>
  <c r="BP32" i="1"/>
  <c r="AR27" i="1"/>
  <c r="CF11" i="1"/>
  <c r="AR16" i="1"/>
  <c r="AR33" i="1"/>
  <c r="AR8" i="1"/>
  <c r="AR18" i="1"/>
  <c r="BG34" i="1"/>
  <c r="BF34" i="1"/>
  <c r="BF14" i="1"/>
  <c r="BG26" i="1"/>
  <c r="AR34" i="1"/>
  <c r="AV32" i="1"/>
  <c r="CA11" i="1"/>
  <c r="BN32" i="1"/>
  <c r="BN13" i="1"/>
  <c r="BN31" i="1"/>
  <c r="AR35" i="1"/>
  <c r="BE35" i="1"/>
  <c r="CQ11" i="1"/>
  <c r="BE28" i="1"/>
  <c r="BO29" i="1"/>
  <c r="AR10" i="1"/>
  <c r="AR13" i="1"/>
  <c r="AR25" i="1"/>
  <c r="BE27" i="1"/>
  <c r="BG35" i="1"/>
  <c r="BA14" i="1"/>
  <c r="BG12" i="1"/>
  <c r="BF25" i="1"/>
  <c r="AR37" i="1"/>
  <c r="BG17" i="1"/>
  <c r="BE31" i="1"/>
  <c r="BG9" i="1"/>
  <c r="BF26" i="1"/>
  <c r="BP29" i="1"/>
  <c r="BF44" i="1"/>
  <c r="AR9" i="1"/>
  <c r="AR36" i="1"/>
  <c r="BG8" i="1"/>
  <c r="BF27" i="1"/>
  <c r="BE45" i="1"/>
  <c r="AV15" i="1"/>
  <c r="BF31" i="1"/>
  <c r="BF16" i="1"/>
  <c r="BE24" i="1"/>
  <c r="BG32" i="1"/>
  <c r="BE36" i="1"/>
  <c r="BG44" i="1"/>
  <c r="BE8" i="1"/>
  <c r="BG18" i="1"/>
  <c r="BG30" i="1"/>
  <c r="BF38" i="1"/>
  <c r="BE10" i="1"/>
  <c r="BG25" i="1"/>
  <c r="BG33" i="1"/>
  <c r="BE18" i="1"/>
  <c r="AR38" i="1"/>
  <c r="AR44" i="1"/>
  <c r="AR17" i="1"/>
  <c r="DL11" i="1"/>
  <c r="BO21" i="1"/>
  <c r="BO32" i="1"/>
  <c r="BG28" i="1"/>
  <c r="AR28" i="1"/>
  <c r="BJ14" i="1"/>
  <c r="BO14" i="1"/>
  <c r="AR12" i="1"/>
  <c r="AR29" i="1"/>
  <c r="AR40" i="1"/>
  <c r="BO28" i="1"/>
  <c r="BP28" i="1"/>
  <c r="BN16" i="1"/>
  <c r="AR24" i="1"/>
  <c r="BF28" i="1"/>
  <c r="BP24" i="1"/>
  <c r="BN8" i="1"/>
  <c r="BO17" i="1"/>
  <c r="BP38" i="1"/>
  <c r="BO39" i="1"/>
  <c r="BG27" i="1"/>
  <c r="BP37" i="1"/>
  <c r="BF20" i="1"/>
  <c r="BE15" i="1"/>
  <c r="BF24" i="1"/>
  <c r="BO22" i="1"/>
  <c r="AR20" i="1"/>
  <c r="AR30" i="1"/>
  <c r="BF21" i="1"/>
  <c r="BF37" i="1"/>
  <c r="BN35" i="1"/>
  <c r="BG22" i="1"/>
  <c r="BG31" i="1"/>
  <c r="BG37" i="1"/>
  <c r="BN38" i="1"/>
  <c r="BP42" i="1"/>
  <c r="BO13" i="1"/>
  <c r="BG23" i="1"/>
  <c r="BF33" i="1"/>
  <c r="BE13" i="1"/>
  <c r="BF18" i="1"/>
  <c r="BG42" i="1"/>
  <c r="BG41" i="1"/>
  <c r="AV36" i="1"/>
  <c r="BG39" i="1"/>
  <c r="BP35" i="1"/>
  <c r="AW19" i="1"/>
  <c r="BO12" i="1"/>
  <c r="AV23" i="1"/>
  <c r="AW31" i="1"/>
  <c r="BP10" i="1"/>
  <c r="BG21" i="1"/>
  <c r="AX40" i="1"/>
  <c r="AV37" i="1"/>
  <c r="BP23" i="1"/>
  <c r="AX37" i="1"/>
  <c r="BP36" i="1"/>
  <c r="BO20" i="1"/>
  <c r="BO15" i="1"/>
  <c r="BP14" i="1"/>
  <c r="BN25" i="1"/>
  <c r="AV24" i="1"/>
  <c r="AX38" i="1"/>
  <c r="AV39" i="1"/>
  <c r="AW17" i="1"/>
  <c r="AV38" i="1"/>
  <c r="AW43" i="1"/>
  <c r="AW44" i="1"/>
  <c r="BF40" i="1"/>
  <c r="BF39" i="1"/>
  <c r="BE12" i="1"/>
  <c r="BE16" i="1"/>
  <c r="BE25" i="1"/>
  <c r="BF15" i="1"/>
  <c r="BE23" i="1"/>
  <c r="BF41" i="1"/>
  <c r="BG29" i="1"/>
  <c r="BF30" i="1"/>
  <c r="BG16" i="1"/>
  <c r="BE42" i="1"/>
  <c r="AX41" i="1"/>
  <c r="AX43" i="1"/>
  <c r="AV21" i="1"/>
  <c r="AV18" i="1"/>
  <c r="AW11" i="1"/>
  <c r="AV43" i="1"/>
  <c r="AW34" i="1"/>
  <c r="AW24" i="1"/>
  <c r="AX44" i="1"/>
  <c r="AV20" i="1"/>
  <c r="AW35" i="1"/>
  <c r="AW40" i="1"/>
  <c r="AX45" i="1"/>
  <c r="AV44" i="1"/>
  <c r="AW32" i="1"/>
  <c r="AX42" i="1"/>
  <c r="AV33" i="1"/>
  <c r="AW8" i="1"/>
  <c r="AV12" i="1"/>
  <c r="AV40" i="1"/>
  <c r="AV17" i="1"/>
  <c r="AV42" i="1"/>
  <c r="AV45" i="1"/>
  <c r="AW25" i="1"/>
  <c r="AW28" i="1"/>
  <c r="AW41" i="1"/>
  <c r="AV9" i="1"/>
  <c r="AW39" i="1"/>
  <c r="AV41" i="1"/>
  <c r="BG19" i="1"/>
  <c r="BE43" i="1"/>
  <c r="BF42" i="1"/>
  <c r="BE21" i="1"/>
  <c r="BF23" i="1"/>
  <c r="BF36" i="1"/>
  <c r="BF13" i="1"/>
  <c r="BF45" i="1"/>
  <c r="BF43" i="1"/>
  <c r="BF10" i="1"/>
  <c r="BE37" i="1"/>
  <c r="BG20" i="1"/>
  <c r="BE17" i="1"/>
  <c r="BG11" i="1"/>
  <c r="BE41" i="1"/>
  <c r="BF12" i="1"/>
  <c r="BE44" i="1"/>
  <c r="BE29" i="1"/>
  <c r="BG10" i="1"/>
  <c r="BG38" i="1"/>
  <c r="BF19" i="1"/>
  <c r="BF32" i="1"/>
  <c r="BG15" i="1"/>
  <c r="BG36" i="1"/>
  <c r="BG24" i="1"/>
  <c r="BE38" i="1"/>
  <c r="BG43" i="1"/>
  <c r="BE20" i="1"/>
  <c r="BE11" i="1"/>
  <c r="BF9" i="1"/>
  <c r="BE33" i="1"/>
  <c r="BF17" i="1"/>
  <c r="BF29" i="1"/>
  <c r="BF8" i="1"/>
  <c r="BG45" i="1"/>
  <c r="BE30" i="1"/>
  <c r="BF11" i="1"/>
  <c r="BF22" i="1"/>
  <c r="BE40" i="1"/>
  <c r="BE19" i="1"/>
  <c r="BE9" i="1"/>
  <c r="BE32" i="1"/>
  <c r="BG40" i="1"/>
  <c r="BE39" i="1"/>
  <c r="BG13" i="1"/>
  <c r="AW9" i="1"/>
  <c r="AW23" i="1"/>
  <c r="AW42" i="1"/>
  <c r="AV25" i="1"/>
  <c r="AW45" i="1"/>
  <c r="AV10" i="1"/>
  <c r="AW21" i="1"/>
  <c r="AW12" i="1"/>
  <c r="AW30" i="1"/>
  <c r="AX36" i="1"/>
  <c r="AW14" i="1"/>
  <c r="AV34" i="1"/>
  <c r="AW38" i="1"/>
  <c r="AV16" i="1"/>
  <c r="AW13" i="1"/>
  <c r="AW20" i="1"/>
  <c r="AV11" i="1"/>
  <c r="AX29" i="1"/>
  <c r="AV27" i="1"/>
  <c r="BN12" i="1"/>
  <c r="BN24" i="1"/>
  <c r="BN34" i="1"/>
  <c r="BP16" i="1"/>
  <c r="BN42" i="1"/>
  <c r="BN41" i="1"/>
  <c r="BO45" i="1"/>
  <c r="BN19" i="1"/>
  <c r="BN10" i="1"/>
  <c r="BN45" i="1"/>
  <c r="BP25" i="1"/>
  <c r="BO38" i="1"/>
  <c r="BO27" i="1"/>
  <c r="BP26" i="1"/>
  <c r="BN11" i="1"/>
  <c r="BP34" i="1"/>
  <c r="BP11" i="1"/>
  <c r="BP20" i="1"/>
  <c r="BP41" i="1"/>
  <c r="BP44" i="1"/>
  <c r="BN36" i="1"/>
  <c r="BO26" i="1"/>
  <c r="BO18" i="1"/>
  <c r="BP12" i="1"/>
  <c r="BO25" i="1"/>
  <c r="BO35" i="1"/>
  <c r="BO44" i="1"/>
  <c r="BP33" i="1"/>
  <c r="BN28" i="1"/>
  <c r="BN40" i="1"/>
  <c r="BP22" i="1"/>
  <c r="BO43" i="1"/>
  <c r="BO30" i="1"/>
  <c r="BN39" i="1"/>
  <c r="BN15" i="1"/>
  <c r="BN14" i="1"/>
  <c r="BP30" i="1"/>
  <c r="BP9" i="1"/>
  <c r="BO36" i="1"/>
  <c r="BN43" i="1"/>
  <c r="BP43" i="1"/>
  <c r="BP39" i="1"/>
  <c r="BP45" i="1"/>
  <c r="BN44" i="1"/>
  <c r="BN22" i="1"/>
  <c r="BO23" i="1"/>
  <c r="BN30" i="1"/>
  <c r="BN18" i="1"/>
  <c r="BO19" i="1"/>
  <c r="BP15" i="1"/>
  <c r="BN33" i="1"/>
  <c r="BP18" i="1"/>
  <c r="BN23" i="1"/>
  <c r="BN9" i="1"/>
  <c r="BN20" i="1"/>
  <c r="BO11" i="1"/>
  <c r="BO10" i="1"/>
  <c r="BO24" i="1"/>
  <c r="BP17" i="1"/>
  <c r="BN17" i="1"/>
  <c r="BP19" i="1"/>
  <c r="BO16" i="1"/>
  <c r="BO33" i="1"/>
  <c r="BO9" i="1"/>
  <c r="BN26" i="1"/>
  <c r="BP8" i="1"/>
  <c r="BO42" i="1"/>
  <c r="BO40" i="1"/>
  <c r="BP27" i="1"/>
  <c r="BO34" i="1"/>
  <c r="BP40" i="1"/>
  <c r="BO8" i="1"/>
  <c r="BO41" i="1"/>
  <c r="AW36" i="1"/>
  <c r="AW27" i="1"/>
  <c r="AW29" i="1"/>
  <c r="AW37" i="1"/>
  <c r="AV29" i="1"/>
  <c r="AV35" i="1"/>
  <c r="AW33" i="1"/>
  <c r="AV28" i="1"/>
  <c r="AX28" i="1"/>
  <c r="AW18" i="1"/>
  <c r="AV26" i="1"/>
  <c r="AV13" i="1"/>
  <c r="AW22" i="1"/>
  <c r="AV30" i="1"/>
  <c r="AV8" i="1"/>
  <c r="AX26" i="1"/>
  <c r="AX39" i="1"/>
  <c r="AV22" i="1"/>
  <c r="AM15" i="1" l="1"/>
  <c r="AT14" i="1"/>
  <c r="DJ12" i="1"/>
  <c r="DH12" i="1"/>
  <c r="DM11" i="1"/>
  <c r="DF11" i="1"/>
  <c r="CD12" i="1"/>
  <c r="CB12" i="1"/>
  <c r="CG11" i="1"/>
  <c r="BZ11" i="1"/>
  <c r="CT12" i="1"/>
  <c r="CW11" i="1"/>
  <c r="CR12" i="1"/>
  <c r="CP11" i="1"/>
  <c r="AX23" i="1"/>
  <c r="DG11" i="1"/>
  <c r="AW26" i="1"/>
  <c r="AX25" i="1"/>
  <c r="AW10" i="1"/>
  <c r="AX22" i="1"/>
  <c r="AX14" i="1"/>
  <c r="AV19" i="1"/>
  <c r="AX20" i="1"/>
  <c r="AX17" i="1"/>
  <c r="AX24" i="1"/>
  <c r="AX30" i="1"/>
  <c r="AX35" i="1"/>
  <c r="AW16" i="1"/>
  <c r="AX13" i="1"/>
  <c r="AX27" i="1"/>
  <c r="AX16" i="1"/>
  <c r="BN27" i="1"/>
  <c r="AX34" i="1"/>
  <c r="AX10" i="1"/>
  <c r="DE12" i="1"/>
  <c r="BE22" i="1"/>
  <c r="AW15" i="1"/>
  <c r="CO12" i="1"/>
  <c r="AX21" i="1"/>
  <c r="AX9" i="1"/>
  <c r="AX11" i="1"/>
  <c r="AX15" i="1"/>
  <c r="AX18" i="1"/>
  <c r="AX19" i="1"/>
  <c r="AX33" i="1"/>
  <c r="AV14" i="1"/>
  <c r="AX8" i="1"/>
  <c r="AX31" i="1"/>
  <c r="AV31" i="1"/>
  <c r="AX32" i="1"/>
  <c r="BY12" i="1"/>
  <c r="AX12" i="1"/>
  <c r="CE12" i="1" l="1"/>
  <c r="CC12" i="1"/>
  <c r="DK12" i="1"/>
  <c r="DI12" i="1"/>
  <c r="CS12" i="1"/>
  <c r="CU12" i="1"/>
  <c r="CA12" i="1"/>
  <c r="CQ12" i="1"/>
  <c r="CV12" i="1"/>
  <c r="DG12" i="1"/>
  <c r="CF12" i="1"/>
  <c r="DL12" i="1"/>
  <c r="CD13" i="1" l="1"/>
  <c r="CG12" i="1"/>
  <c r="CB13" i="1"/>
  <c r="BZ12" i="1"/>
  <c r="CR13" i="1"/>
  <c r="CT13" i="1"/>
  <c r="CW12" i="1"/>
  <c r="CP12" i="1"/>
  <c r="DJ13" i="1"/>
  <c r="DH13" i="1"/>
  <c r="DM12" i="1"/>
  <c r="DF12" i="1"/>
  <c r="BY13" i="1"/>
  <c r="CO13" i="1"/>
  <c r="DE13" i="1"/>
  <c r="DI13" i="1" l="1"/>
  <c r="DK13" i="1"/>
  <c r="CU13" i="1"/>
  <c r="CS13" i="1"/>
  <c r="CE13" i="1"/>
  <c r="CC13" i="1"/>
  <c r="DG13" i="1"/>
  <c r="CF13" i="1"/>
  <c r="CQ13" i="1"/>
  <c r="CA13" i="1"/>
  <c r="DL13" i="1"/>
  <c r="CV13" i="1"/>
  <c r="CB14" i="1" l="1"/>
  <c r="CD14" i="1"/>
  <c r="CG13" i="1"/>
  <c r="BZ13" i="1"/>
  <c r="DJ14" i="1"/>
  <c r="DH14" i="1"/>
  <c r="DM13" i="1"/>
  <c r="DF13" i="1"/>
  <c r="CR14" i="1"/>
  <c r="CT14" i="1"/>
  <c r="CW13" i="1"/>
  <c r="CP13" i="1"/>
  <c r="BY14" i="1"/>
  <c r="CO14" i="1"/>
  <c r="DE14" i="1"/>
  <c r="CU14" i="1" l="1"/>
  <c r="CS14" i="1"/>
  <c r="DI14" i="1"/>
  <c r="DK14" i="1"/>
  <c r="CE14" i="1"/>
  <c r="CC14" i="1"/>
  <c r="CA14" i="1"/>
  <c r="CV14" i="1"/>
  <c r="DG14" i="1"/>
  <c r="CF14" i="1"/>
  <c r="CQ14" i="1"/>
  <c r="DL14" i="1"/>
  <c r="CD15" i="1" l="1"/>
  <c r="CB15" i="1"/>
  <c r="CG14" i="1"/>
  <c r="BZ14" i="1"/>
  <c r="CR15" i="1"/>
  <c r="CT15" i="1"/>
  <c r="CW14" i="1"/>
  <c r="CP14" i="1"/>
  <c r="DJ15" i="1"/>
  <c r="DH15" i="1"/>
  <c r="DM14" i="1"/>
  <c r="DF14" i="1"/>
  <c r="BY15" i="1"/>
  <c r="CO15" i="1"/>
  <c r="DE15" i="1"/>
  <c r="CE15" i="1" l="1"/>
  <c r="CC15" i="1"/>
  <c r="DI15" i="1"/>
  <c r="DK15" i="1"/>
  <c r="CU15" i="1"/>
  <c r="CS15" i="1"/>
  <c r="DL15" i="1"/>
  <c r="CF15" i="1"/>
  <c r="CA15" i="1"/>
  <c r="CV15" i="1"/>
  <c r="DG15" i="1"/>
  <c r="CQ15" i="1"/>
  <c r="CD16" i="1" l="1"/>
  <c r="CB16" i="1"/>
  <c r="CG15" i="1"/>
  <c r="BZ15" i="1"/>
  <c r="CR16" i="1"/>
  <c r="CT16" i="1"/>
  <c r="CW15" i="1"/>
  <c r="CP15" i="1"/>
  <c r="DJ16" i="1"/>
  <c r="DH16" i="1"/>
  <c r="DM15" i="1"/>
  <c r="DF15" i="1"/>
  <c r="CO16" i="1"/>
  <c r="BY16" i="1"/>
  <c r="DE16" i="1"/>
  <c r="DI16" i="1" l="1"/>
  <c r="DK16" i="1"/>
  <c r="CC16" i="1"/>
  <c r="CE16" i="1"/>
  <c r="CS16" i="1"/>
  <c r="CU16" i="1"/>
  <c r="DL16" i="1"/>
  <c r="DG16" i="1"/>
  <c r="CQ16" i="1"/>
  <c r="CV16" i="1"/>
  <c r="CA16" i="1"/>
  <c r="CF16" i="1"/>
  <c r="CT17" i="1" l="1"/>
  <c r="CR17" i="1"/>
  <c r="CW16" i="1"/>
  <c r="CP16" i="1"/>
  <c r="DJ17" i="1"/>
  <c r="DH17" i="1"/>
  <c r="DM16" i="1"/>
  <c r="DF16" i="1"/>
  <c r="CB17" i="1"/>
  <c r="CG16" i="1"/>
  <c r="CD17" i="1"/>
  <c r="BZ16" i="1"/>
  <c r="BY17" i="1"/>
  <c r="CO17" i="1"/>
  <c r="DE17" i="1"/>
  <c r="CU17" i="1" l="1"/>
  <c r="CS17" i="1"/>
  <c r="DI17" i="1"/>
  <c r="DK17" i="1"/>
  <c r="CC17" i="1"/>
  <c r="CE17" i="1"/>
  <c r="CA17" i="1"/>
  <c r="CF17" i="1"/>
  <c r="CQ17" i="1"/>
  <c r="DG17" i="1"/>
  <c r="CV17" i="1"/>
  <c r="DL17" i="1"/>
  <c r="DF17" i="1" l="1"/>
  <c r="CP17" i="1"/>
  <c r="BZ17" i="1"/>
  <c r="DH18" i="1"/>
  <c r="DJ18" i="1"/>
  <c r="DM17" i="1"/>
  <c r="CT18" i="1"/>
  <c r="CR18" i="1"/>
  <c r="CW17" i="1"/>
  <c r="CD18" i="1"/>
  <c r="CB18" i="1"/>
  <c r="CG17" i="1"/>
  <c r="DE18" i="1"/>
  <c r="CO18" i="1"/>
  <c r="BY18" i="1"/>
  <c r="CE18" i="1" l="1"/>
  <c r="CC18" i="1"/>
  <c r="DI18" i="1"/>
  <c r="DK18" i="1"/>
  <c r="CU18" i="1"/>
  <c r="CS18" i="1"/>
  <c r="DG18" i="1"/>
  <c r="CA18" i="1"/>
  <c r="CQ18" i="1"/>
  <c r="CF18" i="1"/>
  <c r="CV18" i="1"/>
  <c r="DL18" i="1"/>
  <c r="CP18" i="1" l="1"/>
  <c r="BZ18" i="1"/>
  <c r="DF18" i="1"/>
  <c r="DH19" i="1"/>
  <c r="DJ19" i="1"/>
  <c r="DM18" i="1"/>
  <c r="CT19" i="1"/>
  <c r="CR19" i="1"/>
  <c r="CW18" i="1"/>
  <c r="CD19" i="1"/>
  <c r="CB19" i="1"/>
  <c r="CG18" i="1"/>
  <c r="DE19" i="1"/>
  <c r="CO19" i="1"/>
  <c r="BY19" i="1"/>
  <c r="DI19" i="1" l="1"/>
  <c r="DK19" i="1"/>
  <c r="CU19" i="1"/>
  <c r="CS19" i="1"/>
  <c r="CE19" i="1"/>
  <c r="CC19" i="1"/>
  <c r="CQ19" i="1"/>
  <c r="CA19" i="1"/>
  <c r="DG19" i="1"/>
  <c r="DL19" i="1"/>
  <c r="CF19" i="1"/>
  <c r="CV19" i="1"/>
  <c r="BZ19" i="1" l="1"/>
  <c r="DF19" i="1"/>
  <c r="CP19" i="1"/>
  <c r="CR20" i="1"/>
  <c r="CT20" i="1"/>
  <c r="CW19" i="1"/>
  <c r="DH20" i="1"/>
  <c r="DM19" i="1"/>
  <c r="DJ20" i="1"/>
  <c r="CD20" i="1"/>
  <c r="CB20" i="1"/>
  <c r="CG19" i="1"/>
  <c r="CO20" i="1"/>
  <c r="DE20" i="1"/>
  <c r="BY20" i="1"/>
  <c r="CS20" i="1" l="1"/>
  <c r="CU20" i="1"/>
  <c r="CE20" i="1"/>
  <c r="CC20" i="1"/>
  <c r="DI20" i="1"/>
  <c r="DK20" i="1"/>
  <c r="CV20" i="1"/>
  <c r="DG20" i="1"/>
  <c r="CQ20" i="1"/>
  <c r="DL20" i="1"/>
  <c r="CA20" i="1"/>
  <c r="CF20" i="1"/>
  <c r="BZ20" i="1" l="1"/>
  <c r="CP20" i="1"/>
  <c r="DF20" i="1"/>
  <c r="DJ21" i="1"/>
  <c r="DH21" i="1"/>
  <c r="DM20" i="1"/>
  <c r="CT21" i="1"/>
  <c r="CR21" i="1"/>
  <c r="CW20" i="1"/>
  <c r="CD21" i="1"/>
  <c r="CB21" i="1"/>
  <c r="CG20" i="1"/>
  <c r="DE21" i="1"/>
  <c r="BY21" i="1"/>
  <c r="CO21" i="1"/>
  <c r="DK21" i="1" l="1"/>
  <c r="DI21" i="1"/>
  <c r="CU21" i="1"/>
  <c r="CS21" i="1"/>
  <c r="CE21" i="1"/>
  <c r="CC21" i="1"/>
  <c r="DL21" i="1"/>
  <c r="DG21" i="1"/>
  <c r="CA21" i="1"/>
  <c r="CQ21" i="1"/>
  <c r="CF21" i="1"/>
  <c r="CV21" i="1"/>
  <c r="BZ21" i="1" l="1"/>
  <c r="CP21" i="1"/>
  <c r="DF21" i="1"/>
  <c r="CR22" i="1"/>
  <c r="CT22" i="1"/>
  <c r="CW21" i="1"/>
  <c r="CB22" i="1"/>
  <c r="CD22" i="1"/>
  <c r="CG21" i="1"/>
  <c r="DH22" i="1"/>
  <c r="DJ22" i="1"/>
  <c r="DM21" i="1"/>
  <c r="DE22" i="1"/>
  <c r="BY22" i="1"/>
  <c r="CO22" i="1"/>
  <c r="CU22" i="1" l="1"/>
  <c r="CS22" i="1"/>
  <c r="CC22" i="1"/>
  <c r="CE22" i="1"/>
  <c r="DI22" i="1"/>
  <c r="DK22" i="1"/>
  <c r="CA22" i="1"/>
  <c r="CF22" i="1"/>
  <c r="CQ22" i="1"/>
  <c r="DG22" i="1"/>
  <c r="CV22" i="1"/>
  <c r="DL22" i="1"/>
  <c r="CP22" i="1" l="1"/>
  <c r="DF22" i="1"/>
  <c r="BZ22" i="1"/>
  <c r="DH23" i="1"/>
  <c r="DJ23" i="1"/>
  <c r="DM22" i="1"/>
  <c r="CB23" i="1"/>
  <c r="CD23" i="1"/>
  <c r="CG22" i="1"/>
  <c r="CR23" i="1"/>
  <c r="CT23" i="1"/>
  <c r="CW22" i="1"/>
  <c r="DE23" i="1"/>
  <c r="CO23" i="1"/>
  <c r="BY23" i="1"/>
  <c r="DI23" i="1" l="1"/>
  <c r="DK23" i="1"/>
  <c r="CC23" i="1"/>
  <c r="CE23" i="1"/>
  <c r="CU23" i="1"/>
  <c r="CS23" i="1"/>
  <c r="CQ23" i="1"/>
  <c r="DG23" i="1"/>
  <c r="CF23" i="1"/>
  <c r="CA23" i="1"/>
  <c r="DL23" i="1"/>
  <c r="CV23" i="1"/>
  <c r="BZ23" i="1" l="1"/>
  <c r="CP23" i="1"/>
  <c r="DF23" i="1"/>
  <c r="DH24" i="1"/>
  <c r="DJ24" i="1"/>
  <c r="DM23" i="1"/>
  <c r="CB24" i="1"/>
  <c r="CG23" i="1"/>
  <c r="CD24" i="1"/>
  <c r="CR24" i="1"/>
  <c r="CT24" i="1"/>
  <c r="CW23" i="1"/>
  <c r="CO24" i="1"/>
  <c r="DE24" i="1"/>
  <c r="BY24" i="1"/>
  <c r="DK24" i="1" l="1"/>
  <c r="DI24" i="1"/>
  <c r="CU24" i="1"/>
  <c r="CS24" i="1"/>
  <c r="CE24" i="1"/>
  <c r="CC24" i="1"/>
  <c r="CQ24" i="1"/>
  <c r="CA24" i="1"/>
  <c r="CF24" i="1"/>
  <c r="DG24" i="1"/>
  <c r="DL24" i="1"/>
  <c r="CV24" i="1"/>
  <c r="DF24" i="1" l="1"/>
  <c r="CP24" i="1"/>
  <c r="BZ24" i="1"/>
  <c r="CB25" i="1"/>
  <c r="CD25" i="1"/>
  <c r="CG24" i="1"/>
  <c r="DJ25" i="1"/>
  <c r="DH25" i="1"/>
  <c r="DM24" i="1"/>
  <c r="CR25" i="1"/>
  <c r="CT25" i="1"/>
  <c r="CW24" i="1"/>
  <c r="BY25" i="1"/>
  <c r="CO25" i="1"/>
  <c r="DE25" i="1"/>
  <c r="CE25" i="1" l="1"/>
  <c r="CC25" i="1"/>
  <c r="DI25" i="1"/>
  <c r="DK25" i="1"/>
  <c r="CU25" i="1"/>
  <c r="CS25" i="1"/>
  <c r="CF25" i="1"/>
  <c r="CV25" i="1"/>
  <c r="CA25" i="1"/>
  <c r="DG25" i="1"/>
  <c r="CQ25" i="1"/>
  <c r="DL25" i="1"/>
  <c r="DF25" i="1" l="1"/>
  <c r="BZ25" i="1"/>
  <c r="CP25" i="1"/>
  <c r="DJ26" i="1"/>
  <c r="DH26" i="1"/>
  <c r="DM25" i="1"/>
  <c r="CR26" i="1"/>
  <c r="CT26" i="1"/>
  <c r="CW25" i="1"/>
  <c r="CD26" i="1"/>
  <c r="CB26" i="1"/>
  <c r="CG25" i="1"/>
  <c r="DE26" i="1"/>
  <c r="CO26" i="1"/>
  <c r="BY26" i="1"/>
  <c r="DK26" i="1" l="1"/>
  <c r="DI26" i="1"/>
  <c r="CS26" i="1"/>
  <c r="CU26" i="1"/>
  <c r="CE26" i="1"/>
  <c r="CC26" i="1"/>
  <c r="DG26" i="1"/>
  <c r="DL26" i="1"/>
  <c r="DD20" i="1"/>
  <c r="DD12" i="1"/>
  <c r="DD23" i="1"/>
  <c r="DD11" i="1"/>
  <c r="DD25" i="1"/>
  <c r="DD17" i="1"/>
  <c r="DD19" i="1"/>
  <c r="DD10" i="1"/>
  <c r="CA26" i="1"/>
  <c r="BX10" i="1"/>
  <c r="BX21" i="1"/>
  <c r="BX17" i="1"/>
  <c r="BX19" i="1"/>
  <c r="BX16" i="1"/>
  <c r="DD14" i="1"/>
  <c r="DD15" i="1"/>
  <c r="CV26" i="1"/>
  <c r="DD16" i="1"/>
  <c r="DD24" i="1"/>
  <c r="DD18" i="1"/>
  <c r="BX11" i="1"/>
  <c r="BX23" i="1"/>
  <c r="CQ26" i="1"/>
  <c r="CN25" i="1"/>
  <c r="BX14" i="1"/>
  <c r="BX25" i="1"/>
  <c r="CN9" i="1"/>
  <c r="CF26" i="1"/>
  <c r="CN15" i="1"/>
  <c r="DD22" i="1"/>
  <c r="CN19" i="1"/>
  <c r="DD21" i="1"/>
  <c r="DD9" i="1"/>
  <c r="DD8" i="1"/>
  <c r="DD13" i="1"/>
  <c r="DQ13" i="1"/>
  <c r="DO11" i="1"/>
  <c r="DP21" i="1"/>
  <c r="DQ10" i="1"/>
  <c r="DN19" i="1"/>
  <c r="DO21" i="1"/>
  <c r="DN9" i="1"/>
  <c r="DN14" i="1"/>
  <c r="DN18" i="1"/>
  <c r="DQ15" i="1"/>
  <c r="DN13" i="1"/>
  <c r="DO20" i="1"/>
  <c r="DO16" i="1"/>
  <c r="DN15" i="1"/>
  <c r="DN21" i="1"/>
  <c r="DN11" i="1"/>
  <c r="BX13" i="1"/>
  <c r="BX20" i="1"/>
  <c r="BX8" i="1"/>
  <c r="BX15" i="1"/>
  <c r="BX24" i="1"/>
  <c r="BX9" i="1"/>
  <c r="BX18" i="1"/>
  <c r="BX22" i="1"/>
  <c r="BX12" i="1"/>
  <c r="CN24" i="1"/>
  <c r="CN14" i="1"/>
  <c r="CN11" i="1"/>
  <c r="CN10" i="1"/>
  <c r="CN22" i="1"/>
  <c r="CN23" i="1"/>
  <c r="CN21" i="1"/>
  <c r="CN18" i="1"/>
  <c r="CN20" i="1"/>
  <c r="CN16" i="1"/>
  <c r="CN17" i="1"/>
  <c r="CN8" i="1"/>
  <c r="CN13" i="1"/>
  <c r="CN12" i="1"/>
  <c r="DP18" i="1"/>
  <c r="DP17" i="1"/>
  <c r="DQ16" i="1"/>
  <c r="DO17" i="1"/>
  <c r="DP11" i="1"/>
  <c r="DO10" i="1"/>
  <c r="DN16" i="1"/>
  <c r="DP19" i="1"/>
  <c r="DQ22" i="1"/>
  <c r="DQ17" i="1"/>
  <c r="DQ19" i="1"/>
  <c r="DO22" i="1"/>
  <c r="DN10" i="1"/>
  <c r="DO19" i="1"/>
  <c r="DQ9" i="1"/>
  <c r="DQ14" i="1"/>
  <c r="DN17" i="1"/>
  <c r="DO14" i="1"/>
  <c r="DN20" i="1"/>
  <c r="DO13" i="1"/>
  <c r="DN22" i="1"/>
  <c r="DO9" i="1"/>
  <c r="DO15" i="1"/>
  <c r="CH18" i="1"/>
  <c r="CK9" i="1"/>
  <c r="CJ23" i="1"/>
  <c r="CK25" i="1"/>
  <c r="CI15" i="1"/>
  <c r="CH10" i="1"/>
  <c r="CK21" i="1"/>
  <c r="CK19" i="1"/>
  <c r="CK24" i="1"/>
  <c r="CI21" i="1"/>
  <c r="CI17" i="1"/>
  <c r="CK22" i="1"/>
  <c r="CI26" i="1"/>
  <c r="CK15" i="1"/>
  <c r="CH23" i="1"/>
  <c r="CI24" i="1"/>
  <c r="CK26" i="1"/>
  <c r="CK23" i="1"/>
  <c r="CJ18" i="1"/>
  <c r="CI19" i="1"/>
  <c r="CH20" i="1"/>
  <c r="CH22" i="1"/>
  <c r="CK14" i="1"/>
  <c r="CH15" i="1"/>
  <c r="CJ20" i="1"/>
  <c r="CH19" i="1"/>
  <c r="CH26" i="1"/>
  <c r="CH24" i="1"/>
  <c r="CK17" i="1"/>
  <c r="CI10" i="1"/>
  <c r="CI14" i="1"/>
  <c r="CH9" i="1"/>
  <c r="CH21" i="1"/>
  <c r="CI25" i="1"/>
  <c r="CH14" i="1"/>
  <c r="CK18" i="1"/>
  <c r="CI9" i="1"/>
  <c r="CH17" i="1"/>
  <c r="CH25" i="1"/>
  <c r="CI23" i="1"/>
  <c r="CK20" i="1"/>
  <c r="CK10" i="1"/>
  <c r="CI22" i="1"/>
  <c r="CY8" i="1"/>
  <c r="CX11" i="1"/>
  <c r="CZ17" i="1"/>
  <c r="CX17" i="1"/>
  <c r="DA22" i="1"/>
  <c r="CZ20" i="1"/>
  <c r="DA17" i="1"/>
  <c r="CY15" i="1"/>
  <c r="CY16" i="1"/>
  <c r="CX20" i="1"/>
  <c r="CY21" i="1"/>
  <c r="CY14" i="1"/>
  <c r="CY12" i="1"/>
  <c r="CX10" i="1"/>
  <c r="DA10" i="1"/>
  <c r="CY11" i="1"/>
  <c r="CY26" i="1"/>
  <c r="CX16" i="1"/>
  <c r="DA9" i="1"/>
  <c r="DA19" i="1"/>
  <c r="CX15" i="1"/>
  <c r="CX9" i="1"/>
  <c r="CX18" i="1"/>
  <c r="CY23" i="1"/>
  <c r="CZ10" i="1"/>
  <c r="CX12" i="1"/>
  <c r="CX19" i="1"/>
  <c r="DA12" i="1"/>
  <c r="CX23" i="1"/>
  <c r="CX8" i="1"/>
  <c r="DA23" i="1"/>
  <c r="CZ16" i="1"/>
  <c r="CZ8" i="1"/>
  <c r="CX14" i="1"/>
  <c r="DA8" i="1"/>
  <c r="CZ21" i="1"/>
  <c r="DA15" i="1"/>
  <c r="DA26" i="1"/>
  <c r="CY9" i="1"/>
  <c r="DA16" i="1"/>
  <c r="CY17" i="1"/>
  <c r="DA14" i="1"/>
  <c r="DA11" i="1"/>
  <c r="CY20" i="1"/>
  <c r="CY10" i="1"/>
  <c r="CY19" i="1"/>
  <c r="CZ22" i="1"/>
  <c r="CY22" i="1"/>
  <c r="CP26" i="1" l="1"/>
  <c r="BZ26" i="1"/>
  <c r="DF26" i="1"/>
  <c r="CW26" i="1"/>
  <c r="CG26" i="1"/>
  <c r="DM26" i="1"/>
  <c r="DA18" i="1"/>
  <c r="CH11" i="1"/>
  <c r="CZ14" i="1"/>
  <c r="CK8" i="1"/>
  <c r="CJ21" i="1"/>
  <c r="CN26" i="1"/>
  <c r="CI20" i="1"/>
  <c r="DA24" i="1"/>
  <c r="DQ18" i="1"/>
  <c r="CZ26" i="1"/>
  <c r="CX26" i="1"/>
  <c r="CY18" i="1"/>
  <c r="CZ11" i="1"/>
  <c r="DP14" i="1"/>
  <c r="CZ19" i="1"/>
  <c r="DO23" i="1"/>
  <c r="DN23" i="1"/>
  <c r="DP9" i="1"/>
  <c r="CI16" i="1"/>
  <c r="CI18" i="1"/>
  <c r="CJ9" i="1"/>
  <c r="CJ19" i="1"/>
  <c r="CJ15" i="1"/>
  <c r="DA21" i="1"/>
  <c r="CJ26" i="1"/>
  <c r="DP8" i="1"/>
  <c r="DD26" i="1"/>
  <c r="DO12" i="1"/>
  <c r="CJ11" i="1"/>
  <c r="CZ23" i="1"/>
  <c r="CJ16" i="1"/>
  <c r="CK16" i="1"/>
  <c r="CJ22" i="1"/>
  <c r="DQ21" i="1"/>
  <c r="CJ8" i="1"/>
  <c r="DN12" i="1"/>
  <c r="DO26" i="1"/>
  <c r="CI13" i="1"/>
  <c r="CX22" i="1"/>
  <c r="CZ9" i="1"/>
  <c r="DP23" i="1"/>
  <c r="CI11" i="1"/>
  <c r="CZ15" i="1"/>
  <c r="CX21" i="1"/>
  <c r="CH16" i="1"/>
  <c r="DN24" i="1"/>
  <c r="DP20" i="1"/>
  <c r="DP10" i="1"/>
  <c r="DQ11" i="1"/>
  <c r="DQ24" i="1"/>
  <c r="DP25" i="1"/>
  <c r="DP13" i="1"/>
  <c r="CI8" i="1"/>
  <c r="CJ24" i="1"/>
  <c r="CJ17" i="1"/>
  <c r="CY24" i="1"/>
  <c r="DP15" i="1"/>
  <c r="DA13" i="1"/>
  <c r="DQ12" i="1"/>
  <c r="CJ10" i="1"/>
  <c r="DN26" i="1"/>
  <c r="DP22" i="1"/>
  <c r="CZ18" i="1"/>
  <c r="DA20" i="1"/>
  <c r="CX13" i="1"/>
  <c r="CZ13" i="1"/>
  <c r="BX26" i="1"/>
  <c r="DO24" i="1"/>
  <c r="DQ20" i="1"/>
  <c r="CJ14" i="1"/>
  <c r="DP12" i="1"/>
  <c r="DP16" i="1"/>
  <c r="CZ12" i="1"/>
  <c r="CY13" i="1"/>
  <c r="DP26" i="1"/>
  <c r="DQ26" i="1"/>
  <c r="DQ8" i="1"/>
  <c r="DQ25" i="1"/>
  <c r="DP24" i="1"/>
  <c r="DO18" i="1"/>
  <c r="CK13" i="1"/>
  <c r="DO8" i="1"/>
  <c r="CH8" i="1"/>
  <c r="CZ24" i="1"/>
  <c r="CH13" i="1"/>
  <c r="DQ23" i="1"/>
  <c r="DN8" i="1"/>
  <c r="CJ25" i="1"/>
  <c r="DO25" i="1"/>
  <c r="DI5" i="1" l="1"/>
  <c r="T22" i="1"/>
  <c r="L22" i="1" s="1"/>
  <c r="T23" i="1"/>
  <c r="L23" i="1" s="1"/>
  <c r="T24" i="1"/>
  <c r="L24" i="1" s="1"/>
  <c r="CI12" i="1"/>
  <c r="CY25" i="1"/>
  <c r="Y10" i="1"/>
  <c r="Y22" i="1"/>
  <c r="CJ13" i="1"/>
  <c r="CK12" i="1"/>
  <c r="Y9" i="1"/>
  <c r="DA25" i="1"/>
  <c r="Y21" i="1"/>
  <c r="CH12" i="1"/>
  <c r="Y18" i="1"/>
  <c r="CX24" i="1"/>
  <c r="CJ12" i="1"/>
  <c r="CK11" i="1"/>
  <c r="DN25" i="1"/>
  <c r="Y23" i="1"/>
  <c r="CZ25" i="1"/>
  <c r="Y8" i="1"/>
  <c r="CX25" i="1"/>
  <c r="CS5" i="1" l="1"/>
  <c r="CC5" i="1"/>
  <c r="T7" i="1"/>
  <c r="I12" i="1" l="1"/>
  <c r="I8" i="1"/>
  <c r="I11" i="1"/>
  <c r="I10" i="1"/>
  <c r="I9" i="1"/>
  <c r="I24" i="1"/>
  <c r="I28" i="1"/>
  <c r="I32" i="1"/>
  <c r="I36" i="1"/>
  <c r="I40" i="1"/>
  <c r="I44" i="1"/>
  <c r="I16" i="1"/>
  <c r="I20" i="1"/>
  <c r="I30" i="1"/>
  <c r="I38" i="1"/>
  <c r="I18" i="1"/>
  <c r="I27" i="1"/>
  <c r="I35" i="1"/>
  <c r="I19" i="1"/>
  <c r="I25" i="1"/>
  <c r="I29" i="1"/>
  <c r="I33" i="1"/>
  <c r="I37" i="1"/>
  <c r="I41" i="1"/>
  <c r="I45" i="1"/>
  <c r="I13" i="1"/>
  <c r="I17" i="1"/>
  <c r="I21" i="1"/>
  <c r="I26" i="1"/>
  <c r="I34" i="1"/>
  <c r="I42" i="1"/>
  <c r="I14" i="1"/>
  <c r="I22" i="1"/>
  <c r="I31" i="1"/>
  <c r="I39" i="1"/>
  <c r="I43" i="1"/>
  <c r="I15" i="1"/>
  <c r="I23" i="1"/>
</calcChain>
</file>

<file path=xl/sharedStrings.xml><?xml version="1.0" encoding="utf-8"?>
<sst xmlns="http://schemas.openxmlformats.org/spreadsheetml/2006/main" count="216" uniqueCount="81">
  <si>
    <t>V</t>
  </si>
  <si>
    <t>F</t>
  </si>
  <si>
    <t>A</t>
  </si>
  <si>
    <t>i</t>
  </si>
  <si>
    <t>O</t>
  </si>
  <si>
    <t>W</t>
  </si>
  <si>
    <t>T</t>
  </si>
  <si>
    <t>FPT</t>
  </si>
  <si>
    <t>RO</t>
  </si>
  <si>
    <t>RT</t>
  </si>
  <si>
    <t>RW</t>
  </si>
  <si>
    <t>FPT T</t>
  </si>
  <si>
    <t>FPT O</t>
  </si>
  <si>
    <t>FPT W</t>
  </si>
  <si>
    <t>alphabetical</t>
  </si>
  <si>
    <t>1/2</t>
  </si>
  <si>
    <t>RHAO</t>
  </si>
  <si>
    <t>RHAT</t>
  </si>
  <si>
    <t>RHAW</t>
  </si>
  <si>
    <t>P%</t>
  </si>
  <si>
    <t>sum 1/2</t>
  </si>
  <si>
    <t xml:space="preserve">  </t>
  </si>
  <si>
    <t>X</t>
  </si>
  <si>
    <t>H &amp; A</t>
  </si>
  <si>
    <t>P min</t>
  </si>
  <si>
    <t>R</t>
  </si>
  <si>
    <t>H &amp; A FPT</t>
  </si>
  <si>
    <t>KEY</t>
  </si>
  <si>
    <t>A - Alphabetical ordering</t>
  </si>
  <si>
    <t>C</t>
  </si>
  <si>
    <t>C - Chronological ordering</t>
  </si>
  <si>
    <t>O - Opposition</t>
  </si>
  <si>
    <t>F - Fouls</t>
  </si>
  <si>
    <t>R - Rank ordering</t>
  </si>
  <si>
    <t>W - Whole game</t>
  </si>
  <si>
    <t>H &amp; A - Home and away</t>
  </si>
  <si>
    <t>Enter the season</t>
  </si>
  <si>
    <t>1/2 - One game or home and away</t>
  </si>
  <si>
    <t>Enter the team (T) that plays in every game</t>
  </si>
  <si>
    <t>T -The team that plays in every game</t>
  </si>
  <si>
    <t>H</t>
  </si>
  <si>
    <t>West Ham</t>
  </si>
  <si>
    <t>Newcastle</t>
  </si>
  <si>
    <t>Crystal Palace</t>
  </si>
  <si>
    <t>Notts Forest</t>
  </si>
  <si>
    <t>Wolverhampton</t>
  </si>
  <si>
    <t>Liverpool</t>
  </si>
  <si>
    <t>Brighton</t>
  </si>
  <si>
    <t>Fulham</t>
  </si>
  <si>
    <t>Everton</t>
  </si>
  <si>
    <t>Chelsea</t>
  </si>
  <si>
    <t>Tottenham</t>
  </si>
  <si>
    <t>HIDE ME</t>
  </si>
  <si>
    <t>INPUT</t>
  </si>
  <si>
    <t xml:space="preserve">P - Possession, % </t>
  </si>
  <si>
    <t xml:space="preserve">INPUT </t>
  </si>
  <si>
    <t>For more info about FPT click here</t>
  </si>
  <si>
    <t>V - Venue</t>
  </si>
  <si>
    <t>X - Row data incomplete</t>
  </si>
  <si>
    <t>2023 - 2024</t>
  </si>
  <si>
    <t>Burnley</t>
  </si>
  <si>
    <t>Luton</t>
  </si>
  <si>
    <t>Bournemouth</t>
  </si>
  <si>
    <t xml:space="preserve"> </t>
  </si>
  <si>
    <t xml:space="preserve">Type the game data into the white box below </t>
  </si>
  <si>
    <t>the green and white INPUT headings.</t>
  </si>
  <si>
    <t>i -Input allowed</t>
  </si>
  <si>
    <t>n</t>
  </si>
  <si>
    <t>n - input not allowed</t>
  </si>
  <si>
    <t>FPT - Fair Play Time in minutes per foul</t>
  </si>
  <si>
    <t>Arsenal</t>
  </si>
  <si>
    <t>Sheffield Utd</t>
  </si>
  <si>
    <t>Man Utd</t>
  </si>
  <si>
    <t>Man City</t>
  </si>
  <si>
    <t>Brentford</t>
  </si>
  <si>
    <t>P</t>
  </si>
  <si>
    <t xml:space="preserve">WSA </t>
  </si>
  <si>
    <t>WSA - Whole season averages</t>
  </si>
  <si>
    <t>DO NOT MOVE, ADD, DELETE, SORT OR</t>
  </si>
  <si>
    <t>FILTER ANY ROWS</t>
  </si>
  <si>
    <t>Aston Villa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</si>
</sst>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0"/>
      <color rgb="FF0000FF"/>
      <name val="Verdana"/>
      <family val="2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2"/>
      <color rgb="FFBDC1C6"/>
      <name val="Arial"/>
      <family val="2"/>
    </font>
    <font>
      <sz val="11"/>
      <color theme="0" tint="-0.249977111117893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6428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102">
    <xf numFmtId="0" fontId="0" fillId="0" borderId="0" xfId="0"/>
    <xf numFmtId="0" fontId="0" fillId="4" borderId="0" xfId="0" applyFill="1" applyAlignment="1">
      <alignment horizontal="center"/>
    </xf>
    <xf numFmtId="0" fontId="3" fillId="3" borderId="0" xfId="0" applyFont="1" applyFill="1" applyAlignment="1">
      <alignment horizontal="left" vertical="center"/>
    </xf>
    <xf numFmtId="0" fontId="3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left" vertical="center"/>
    </xf>
    <xf numFmtId="0" fontId="3" fillId="6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164" fontId="3" fillId="5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12" borderId="0" xfId="0" applyFont="1" applyFill="1" applyAlignment="1"/>
    <xf numFmtId="0" fontId="0" fillId="12" borderId="0" xfId="0" applyFill="1" applyAlignment="1">
      <alignment horizontal="left"/>
    </xf>
    <xf numFmtId="164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0" fontId="3" fillId="12" borderId="0" xfId="0" applyFont="1" applyFill="1" applyAlignment="1">
      <alignment horizontal="left" vertical="center"/>
    </xf>
    <xf numFmtId="0" fontId="3" fillId="12" borderId="0" xfId="0" applyFont="1" applyFill="1" applyAlignment="1">
      <alignment horizontal="center" vertical="center"/>
    </xf>
    <xf numFmtId="0" fontId="0" fillId="12" borderId="0" xfId="0" applyFill="1" applyAlignment="1">
      <alignment horizontal="right"/>
    </xf>
    <xf numFmtId="0" fontId="0" fillId="12" borderId="0" xfId="0" applyNumberFormat="1" applyFill="1" applyAlignment="1">
      <alignment horizontal="center"/>
    </xf>
    <xf numFmtId="0" fontId="0" fillId="9" borderId="0" xfId="0" applyFill="1" applyAlignment="1">
      <alignment horizontal="left"/>
    </xf>
    <xf numFmtId="0" fontId="0" fillId="9" borderId="0" xfId="0" applyFill="1" applyAlignment="1">
      <alignment horizontal="center"/>
    </xf>
    <xf numFmtId="0" fontId="0" fillId="8" borderId="0" xfId="0" applyFill="1" applyAlignment="1">
      <alignment horizontal="left"/>
    </xf>
    <xf numFmtId="0" fontId="0" fillId="8" borderId="0" xfId="0" applyFill="1" applyAlignment="1">
      <alignment horizontal="center"/>
    </xf>
    <xf numFmtId="0" fontId="0" fillId="7" borderId="0" xfId="0" applyFill="1" applyAlignment="1">
      <alignment horizontal="center"/>
    </xf>
    <xf numFmtId="164" fontId="0" fillId="8" borderId="0" xfId="0" applyNumberFormat="1" applyFill="1" applyAlignment="1">
      <alignment horizontal="center"/>
    </xf>
    <xf numFmtId="0" fontId="0" fillId="14" borderId="0" xfId="0" applyFill="1" applyAlignment="1">
      <alignment horizontal="left"/>
    </xf>
    <xf numFmtId="164" fontId="0" fillId="9" borderId="0" xfId="0" applyNumberFormat="1" applyFill="1" applyAlignment="1">
      <alignment horizontal="center"/>
    </xf>
    <xf numFmtId="0" fontId="3" fillId="11" borderId="0" xfId="0" applyFont="1" applyFill="1" applyAlignment="1">
      <alignment horizontal="center" vertical="center"/>
    </xf>
    <xf numFmtId="2" fontId="0" fillId="12" borderId="0" xfId="0" applyNumberFormat="1" applyFill="1" applyAlignment="1">
      <alignment horizontal="center"/>
    </xf>
    <xf numFmtId="0" fontId="5" fillId="12" borderId="0" xfId="0" applyFont="1" applyFill="1" applyAlignment="1">
      <alignment horizontal="left" vertical="center"/>
    </xf>
    <xf numFmtId="0" fontId="9" fillId="12" borderId="0" xfId="0" applyFont="1" applyFill="1" applyAlignment="1">
      <alignment horizontal="center" vertical="center"/>
    </xf>
    <xf numFmtId="0" fontId="9" fillId="12" borderId="0" xfId="0" applyFont="1" applyFill="1" applyAlignment="1">
      <alignment horizontal="left" vertical="center"/>
    </xf>
    <xf numFmtId="49" fontId="9" fillId="12" borderId="0" xfId="0" applyNumberFormat="1" applyFont="1" applyFill="1" applyAlignment="1">
      <alignment horizontal="left" vertical="center"/>
    </xf>
    <xf numFmtId="0" fontId="2" fillId="12" borderId="0" xfId="0" applyNumberFormat="1" applyFont="1" applyFill="1" applyAlignment="1">
      <alignment horizontal="center"/>
    </xf>
    <xf numFmtId="0" fontId="0" fillId="12" borderId="0" xfId="0" applyFill="1" applyBorder="1" applyAlignment="1">
      <alignment horizontal="center"/>
    </xf>
    <xf numFmtId="0" fontId="7" fillId="12" borderId="0" xfId="0" applyFont="1" applyFill="1" applyBorder="1" applyAlignment="1">
      <alignment horizontal="center"/>
    </xf>
    <xf numFmtId="0" fontId="4" fillId="12" borderId="0" xfId="0" applyFont="1" applyFill="1" applyBorder="1" applyAlignment="1">
      <alignment horizontal="center"/>
    </xf>
    <xf numFmtId="1" fontId="0" fillId="12" borderId="0" xfId="0" applyNumberFormat="1" applyFill="1" applyBorder="1" applyAlignment="1">
      <alignment horizontal="center"/>
    </xf>
    <xf numFmtId="0" fontId="8" fillId="12" borderId="0" xfId="0" applyFont="1" applyFill="1" applyBorder="1" applyAlignment="1">
      <alignment horizontal="center"/>
    </xf>
    <xf numFmtId="2" fontId="4" fillId="12" borderId="0" xfId="0" applyNumberFormat="1" applyFont="1" applyFill="1" applyBorder="1" applyAlignment="1">
      <alignment horizontal="center"/>
    </xf>
    <xf numFmtId="2" fontId="0" fillId="12" borderId="0" xfId="0" applyNumberFormat="1" applyFill="1" applyBorder="1" applyAlignment="1">
      <alignment horizontal="center"/>
    </xf>
    <xf numFmtId="0" fontId="0" fillId="10" borderId="0" xfId="0" applyFill="1" applyAlignment="1" applyProtection="1">
      <alignment horizontal="left"/>
      <protection locked="0"/>
    </xf>
    <xf numFmtId="0" fontId="0" fillId="10" borderId="0" xfId="0" applyFill="1" applyAlignment="1" applyProtection="1">
      <alignment horizontal="center"/>
      <protection locked="0"/>
    </xf>
    <xf numFmtId="0" fontId="0" fillId="10" borderId="0" xfId="0" applyFill="1" applyAlignment="1">
      <alignment horizontal="center"/>
    </xf>
    <xf numFmtId="0" fontId="1" fillId="10" borderId="0" xfId="0" applyFont="1" applyFill="1" applyAlignment="1">
      <alignment horizontal="left"/>
    </xf>
    <xf numFmtId="0" fontId="0" fillId="10" borderId="0" xfId="0" applyFill="1" applyAlignment="1" applyProtection="1">
      <alignment horizontal="center"/>
    </xf>
    <xf numFmtId="164" fontId="0" fillId="9" borderId="0" xfId="0" applyNumberFormat="1" applyFill="1" applyAlignment="1">
      <alignment horizontal="left"/>
    </xf>
    <xf numFmtId="2" fontId="0" fillId="4" borderId="0" xfId="0" applyNumberFormat="1" applyFill="1" applyAlignment="1">
      <alignment horizontal="center"/>
    </xf>
    <xf numFmtId="0" fontId="11" fillId="12" borderId="0" xfId="0" applyFont="1" applyFill="1"/>
    <xf numFmtId="0" fontId="12" fillId="14" borderId="0" xfId="0" applyFont="1" applyFill="1" applyAlignment="1">
      <alignment horizontal="left"/>
    </xf>
    <xf numFmtId="0" fontId="2" fillId="14" borderId="0" xfId="0" applyFont="1" applyFill="1" applyAlignment="1">
      <alignment horizontal="left"/>
    </xf>
    <xf numFmtId="0" fontId="6" fillId="3" borderId="0" xfId="0" applyFont="1" applyFill="1" applyAlignment="1">
      <alignment horizontal="left" vertical="center"/>
    </xf>
    <xf numFmtId="0" fontId="6" fillId="15" borderId="0" xfId="0" applyFont="1" applyFill="1" applyAlignment="1">
      <alignment horizontal="left" vertical="center"/>
    </xf>
    <xf numFmtId="0" fontId="3" fillId="15" borderId="0" xfId="0" applyFont="1" applyFill="1" applyAlignment="1">
      <alignment horizontal="left" vertical="center"/>
    </xf>
    <xf numFmtId="0" fontId="13" fillId="2" borderId="0" xfId="0" applyFont="1" applyFill="1" applyAlignment="1" applyProtection="1">
      <alignment horizontal="left"/>
      <protection locked="0"/>
    </xf>
    <xf numFmtId="0" fontId="6" fillId="11" borderId="0" xfId="0" applyFont="1" applyFill="1" applyAlignment="1">
      <alignment horizontal="center" vertical="center"/>
    </xf>
    <xf numFmtId="49" fontId="3" fillId="11" borderId="0" xfId="0" applyNumberFormat="1" applyFont="1" applyFill="1" applyAlignment="1">
      <alignment horizontal="center" vertical="center"/>
    </xf>
    <xf numFmtId="164" fontId="3" fillId="11" borderId="0" xfId="0" applyNumberFormat="1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15" borderId="0" xfId="0" applyFont="1" applyFill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0" fillId="4" borderId="0" xfId="0" applyFill="1" applyBorder="1" applyAlignment="1">
      <alignment horizontal="center"/>
    </xf>
    <xf numFmtId="164" fontId="0" fillId="4" borderId="0" xfId="0" applyNumberFormat="1" applyFill="1" applyBorder="1" applyAlignment="1">
      <alignment horizontal="center"/>
    </xf>
    <xf numFmtId="0" fontId="6" fillId="5" borderId="0" xfId="0" applyFont="1" applyFill="1" applyAlignment="1">
      <alignment horizontal="center" vertical="center"/>
    </xf>
    <xf numFmtId="0" fontId="0" fillId="16" borderId="0" xfId="0" applyFill="1" applyBorder="1" applyAlignment="1">
      <alignment horizontal="center"/>
    </xf>
    <xf numFmtId="164" fontId="0" fillId="16" borderId="0" xfId="0" applyNumberFormat="1" applyFill="1" applyBorder="1" applyAlignment="1">
      <alignment horizontal="center"/>
    </xf>
    <xf numFmtId="0" fontId="0" fillId="16" borderId="0" xfId="0" applyFill="1" applyBorder="1" applyAlignment="1">
      <alignment horizontal="left"/>
    </xf>
    <xf numFmtId="0" fontId="3" fillId="17" borderId="0" xfId="0" applyFont="1" applyFill="1" applyAlignment="1">
      <alignment horizontal="center" vertical="center"/>
    </xf>
    <xf numFmtId="0" fontId="0" fillId="14" borderId="0" xfId="0" applyFill="1" applyAlignment="1">
      <alignment horizontal="left" vertical="top"/>
    </xf>
    <xf numFmtId="0" fontId="16" fillId="14" borderId="0" xfId="1" applyFont="1" applyFill="1" applyAlignment="1">
      <alignment horizontal="left"/>
    </xf>
    <xf numFmtId="0" fontId="6" fillId="6" borderId="0" xfId="0" applyNumberFormat="1" applyFont="1" applyFill="1" applyAlignment="1">
      <alignment horizontal="center" vertical="center"/>
    </xf>
    <xf numFmtId="0" fontId="0" fillId="12" borderId="0" xfId="0" applyFont="1" applyFill="1" applyAlignment="1">
      <alignment horizontal="left"/>
    </xf>
    <xf numFmtId="0" fontId="0" fillId="12" borderId="0" xfId="0" applyFont="1" applyFill="1" applyAlignment="1">
      <alignment horizontal="center"/>
    </xf>
    <xf numFmtId="0" fontId="17" fillId="12" borderId="0" xfId="0" applyFont="1" applyFill="1" applyAlignment="1">
      <alignment horizontal="left" vertical="center"/>
    </xf>
    <xf numFmtId="0" fontId="18" fillId="12" borderId="0" xfId="0" applyFont="1" applyFill="1" applyAlignment="1">
      <alignment horizontal="left" vertical="center"/>
    </xf>
    <xf numFmtId="0" fontId="6" fillId="12" borderId="0" xfId="0" applyFont="1" applyFill="1" applyAlignment="1">
      <alignment horizontal="left" vertical="center"/>
    </xf>
    <xf numFmtId="0" fontId="12" fillId="12" borderId="0" xfId="0" applyFont="1" applyFill="1" applyAlignment="1">
      <alignment horizontal="left"/>
    </xf>
    <xf numFmtId="0" fontId="2" fillId="12" borderId="0" xfId="0" applyFont="1" applyFill="1" applyAlignment="1">
      <alignment horizontal="left"/>
    </xf>
    <xf numFmtId="0" fontId="0" fillId="12" borderId="0" xfId="0" applyFill="1" applyAlignment="1">
      <alignment horizontal="left" vertical="top"/>
    </xf>
    <xf numFmtId="0" fontId="14" fillId="18" borderId="0" xfId="0" applyFont="1" applyFill="1" applyAlignment="1">
      <alignment horizontal="center"/>
    </xf>
    <xf numFmtId="0" fontId="0" fillId="18" borderId="0" xfId="0" applyFont="1" applyFill="1" applyAlignment="1">
      <alignment horizontal="center"/>
    </xf>
    <xf numFmtId="0" fontId="13" fillId="12" borderId="0" xfId="0" applyFont="1" applyFill="1" applyAlignment="1">
      <alignment horizontal="left"/>
    </xf>
    <xf numFmtId="0" fontId="5" fillId="19" borderId="0" xfId="0" applyFont="1" applyFill="1" applyAlignment="1">
      <alignment horizontal="center" vertical="center"/>
    </xf>
    <xf numFmtId="0" fontId="3" fillId="20" borderId="0" xfId="0" applyFont="1" applyFill="1" applyAlignment="1">
      <alignment horizontal="center" vertical="top"/>
    </xf>
    <xf numFmtId="164" fontId="0" fillId="19" borderId="0" xfId="0" applyNumberFormat="1" applyFont="1" applyFill="1" applyAlignment="1">
      <alignment horizontal="center" vertical="center"/>
    </xf>
    <xf numFmtId="164" fontId="0" fillId="19" borderId="0" xfId="0" applyNumberFormat="1" applyFont="1" applyFill="1" applyAlignment="1">
      <alignment horizontal="center"/>
    </xf>
    <xf numFmtId="0" fontId="0" fillId="19" borderId="0" xfId="0" applyFont="1" applyFill="1" applyAlignment="1">
      <alignment horizontal="center"/>
    </xf>
    <xf numFmtId="164" fontId="3" fillId="12" borderId="0" xfId="0" applyNumberFormat="1" applyFont="1" applyFill="1" applyAlignment="1">
      <alignment vertical="center"/>
    </xf>
    <xf numFmtId="164" fontId="0" fillId="12" borderId="0" xfId="0" applyNumberFormat="1" applyFill="1" applyAlignment="1">
      <alignment horizontal="center" vertical="center"/>
    </xf>
    <xf numFmtId="0" fontId="14" fillId="12" borderId="0" xfId="0" applyFont="1" applyFill="1" applyAlignment="1">
      <alignment horizontal="center" vertical="center"/>
    </xf>
    <xf numFmtId="2" fontId="14" fillId="12" borderId="0" xfId="0" applyNumberFormat="1" applyFont="1" applyFill="1" applyAlignment="1">
      <alignment horizontal="center" vertical="center"/>
    </xf>
    <xf numFmtId="0" fontId="14" fillId="12" borderId="0" xfId="0" applyFont="1" applyFill="1" applyAlignment="1">
      <alignment horizontal="center"/>
    </xf>
    <xf numFmtId="0" fontId="10" fillId="15" borderId="0" xfId="0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3" fillId="17" borderId="0" xfId="0" applyFont="1" applyFill="1" applyAlignment="1">
      <alignment horizontal="center" vertical="center"/>
    </xf>
    <xf numFmtId="0" fontId="3" fillId="20" borderId="0" xfId="0" applyFont="1" applyFill="1" applyAlignment="1">
      <alignment horizontal="center" vertical="center"/>
    </xf>
    <xf numFmtId="0" fontId="4" fillId="20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10">
    <dxf>
      <font>
        <color theme="7" tint="0.59996337778862885"/>
      </font>
    </dxf>
    <dxf>
      <fill>
        <patternFill>
          <bgColor rgb="FFFFFFCC"/>
        </patternFill>
      </fill>
    </dxf>
    <dxf>
      <font>
        <b val="0"/>
        <i val="0"/>
        <color auto="1"/>
      </font>
      <fill>
        <patternFill>
          <bgColor theme="0"/>
        </patternFill>
      </fill>
    </dxf>
    <dxf>
      <fill>
        <patternFill>
          <bgColor theme="0"/>
        </patternFill>
      </fill>
    </dxf>
    <dxf>
      <font>
        <b val="0"/>
        <i val="0"/>
        <color theme="0"/>
      </font>
    </dxf>
    <dxf>
      <fill>
        <patternFill>
          <bgColor theme="7" tint="0.79998168889431442"/>
        </patternFill>
      </fill>
    </dxf>
    <dxf>
      <font>
        <color theme="0"/>
      </font>
    </dxf>
    <dxf>
      <fill>
        <patternFill>
          <bgColor theme="7" tint="0.79998168889431442"/>
        </patternFill>
      </fill>
    </dxf>
    <dxf>
      <font>
        <b val="0"/>
        <i val="0"/>
        <color theme="0"/>
      </font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colors>
    <mruColors>
      <color rgb="FFBE1C65"/>
      <color rgb="FFEA6C7E"/>
      <color rgb="FFFFCCCC"/>
      <color rgb="FFFFFFCC"/>
      <color rgb="FFFF9900"/>
      <color rgb="FFCC0066"/>
      <color rgb="FFCC0000"/>
      <color rgb="FF0066FF"/>
      <color rgb="FFCCEC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nnygames.org.uk/ftp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Y65"/>
  <sheetViews>
    <sheetView showGridLines="0" tabSelected="1" topLeftCell="AF1" zoomScale="87" zoomScaleNormal="87" workbookViewId="0">
      <pane ySplit="7" topLeftCell="A8" activePane="bottomLeft" state="frozen"/>
      <selection activeCell="G1" sqref="G1"/>
      <selection pane="bottomLeft" activeCell="DU22" sqref="DU22"/>
    </sheetView>
  </sheetViews>
  <sheetFormatPr defaultRowHeight="15" x14ac:dyDescent="0.25"/>
  <cols>
    <col min="1" max="1" width="4.28515625" style="12" customWidth="1"/>
    <col min="2" max="2" width="3.7109375" style="12" customWidth="1"/>
    <col min="3" max="3" width="37.85546875" style="12" customWidth="1"/>
    <col min="4" max="5" width="4.140625" style="12" customWidth="1"/>
    <col min="6" max="6" width="4.140625" style="12" hidden="1" customWidth="1"/>
    <col min="7" max="7" width="3" style="12" customWidth="1"/>
    <col min="8" max="8" width="3.140625" style="12" hidden="1" customWidth="1"/>
    <col min="9" max="9" width="4" style="17" customWidth="1"/>
    <col min="10" max="10" width="5.7109375" style="14" hidden="1" customWidth="1"/>
    <col min="11" max="11" width="4" style="12" hidden="1" customWidth="1"/>
    <col min="12" max="12" width="5.7109375" style="18" customWidth="1"/>
    <col min="13" max="13" width="17" style="12" customWidth="1"/>
    <col min="14" max="14" width="5.7109375" style="12" customWidth="1"/>
    <col min="15" max="17" width="5.7109375" style="14" customWidth="1"/>
    <col min="18" max="18" width="1.5703125" style="14" customWidth="1"/>
    <col min="19" max="19" width="3.5703125" style="14" customWidth="1"/>
    <col min="20" max="20" width="3.5703125" style="12" hidden="1" customWidth="1"/>
    <col min="21" max="21" width="2.85546875" style="12" customWidth="1"/>
    <col min="22" max="22" width="8.7109375" style="12" hidden="1" customWidth="1"/>
    <col min="23" max="23" width="5.7109375" style="14" customWidth="1"/>
    <col min="24" max="24" width="17.140625" style="12" customWidth="1"/>
    <col min="25" max="25" width="4" style="12" customWidth="1"/>
    <col min="26" max="26" width="4.28515625" style="14" customWidth="1"/>
    <col min="27" max="33" width="5.7109375" style="14" customWidth="1"/>
    <col min="34" max="36" width="5.7109375" style="14" hidden="1" customWidth="1"/>
    <col min="37" max="37" width="5.7109375" style="14" customWidth="1"/>
    <col min="38" max="38" width="5.7109375" style="28" customWidth="1"/>
    <col min="39" max="39" width="5.7109375" style="14" customWidth="1"/>
    <col min="40" max="40" width="2.85546875" style="12" customWidth="1"/>
    <col min="41" max="41" width="5.42578125" style="12" hidden="1" customWidth="1"/>
    <col min="42" max="42" width="4.140625" style="12" hidden="1" customWidth="1"/>
    <col min="43" max="43" width="3.5703125" style="12" hidden="1" customWidth="1"/>
    <col min="44" max="44" width="5.85546875" style="12" hidden="1" customWidth="1"/>
    <col min="45" max="45" width="15.7109375" style="12" hidden="1" customWidth="1"/>
    <col min="46" max="46" width="5.28515625" style="12" hidden="1" customWidth="1"/>
    <col min="47" max="47" width="3.42578125" style="12" hidden="1" customWidth="1"/>
    <col min="48" max="48" width="5.7109375" style="14" customWidth="1"/>
    <col min="49" max="49" width="17" style="12" customWidth="1"/>
    <col min="50" max="50" width="5.7109375" style="13" customWidth="1"/>
    <col min="51" max="51" width="2.7109375" style="12" customWidth="1"/>
    <col min="52" max="52" width="3.7109375" style="12" hidden="1" customWidth="1"/>
    <col min="53" max="53" width="5.42578125" style="12" hidden="1" customWidth="1"/>
    <col min="54" max="54" width="15.7109375" style="12" hidden="1" customWidth="1"/>
    <col min="55" max="55" width="6" style="12" hidden="1" customWidth="1"/>
    <col min="56" max="56" width="4.140625" style="12" hidden="1" customWidth="1"/>
    <col min="57" max="57" width="5.7109375" style="14" customWidth="1"/>
    <col min="58" max="58" width="17.28515625" style="12" customWidth="1"/>
    <col min="59" max="59" width="5.7109375" style="13" customWidth="1"/>
    <col min="60" max="60" width="2.85546875" style="12" customWidth="1"/>
    <col min="61" max="61" width="3.85546875" style="12" hidden="1" customWidth="1"/>
    <col min="62" max="62" width="5.28515625" style="12" hidden="1" customWidth="1"/>
    <col min="63" max="63" width="15.85546875" style="12" hidden="1" customWidth="1"/>
    <col min="64" max="64" width="6.28515625" style="12" hidden="1" customWidth="1"/>
    <col min="65" max="65" width="5" style="12" hidden="1" customWidth="1"/>
    <col min="66" max="66" width="5.7109375" style="14" customWidth="1"/>
    <col min="67" max="67" width="17.140625" style="12" customWidth="1"/>
    <col min="68" max="68" width="5.7109375" style="13" customWidth="1"/>
    <col min="69" max="69" width="3" style="12" customWidth="1"/>
    <col min="70" max="74" width="5.85546875" style="12" hidden="1" customWidth="1"/>
    <col min="75" max="75" width="5.85546875" style="14" hidden="1" customWidth="1"/>
    <col min="76" max="76" width="5.28515625" style="14" hidden="1" customWidth="1"/>
    <col min="77" max="77" width="16.140625" style="14" hidden="1" customWidth="1"/>
    <col min="78" max="79" width="5.140625" style="14" hidden="1" customWidth="1"/>
    <col min="80" max="80" width="5" style="14" hidden="1" customWidth="1"/>
    <col min="81" max="81" width="6.5703125" style="14" hidden="1" customWidth="1"/>
    <col min="82" max="82" width="5.28515625" style="14" hidden="1" customWidth="1"/>
    <col min="83" max="83" width="6" style="14" hidden="1" customWidth="1"/>
    <col min="84" max="84" width="5.7109375" style="14" hidden="1" customWidth="1"/>
    <col min="85" max="85" width="5.28515625" style="14" hidden="1" customWidth="1"/>
    <col min="86" max="86" width="5.7109375" style="14" customWidth="1"/>
    <col min="87" max="87" width="17.140625" style="14" customWidth="1"/>
    <col min="88" max="88" width="4.42578125" style="14" customWidth="1"/>
    <col min="89" max="89" width="5.7109375" style="14" customWidth="1"/>
    <col min="90" max="90" width="2.7109375" style="12" customWidth="1"/>
    <col min="91" max="91" width="6.5703125" style="14" hidden="1" customWidth="1"/>
    <col min="92" max="92" width="6" style="14" hidden="1" customWidth="1"/>
    <col min="93" max="93" width="15.7109375" style="12" hidden="1" customWidth="1"/>
    <col min="94" max="94" width="5.7109375" style="12" hidden="1" customWidth="1"/>
    <col min="95" max="95" width="4.7109375" style="12" hidden="1" customWidth="1"/>
    <col min="96" max="96" width="4.28515625" style="12" hidden="1" customWidth="1"/>
    <col min="97" max="97" width="4.7109375" style="12" hidden="1" customWidth="1"/>
    <col min="98" max="98" width="5.140625" style="12" hidden="1" customWidth="1"/>
    <col min="99" max="99" width="4.140625" style="12" hidden="1" customWidth="1"/>
    <col min="100" max="100" width="5.5703125" style="14" hidden="1" customWidth="1"/>
    <col min="101" max="101" width="5" style="12" hidden="1" customWidth="1"/>
    <col min="102" max="102" width="5.7109375" style="14" customWidth="1"/>
    <col min="103" max="103" width="17.140625" style="12" customWidth="1"/>
    <col min="104" max="104" width="4.42578125" style="14" customWidth="1"/>
    <col min="105" max="105" width="5.7109375" style="14" customWidth="1"/>
    <col min="106" max="106" width="2.7109375" style="12" customWidth="1"/>
    <col min="107" max="107" width="4.5703125" style="12" hidden="1" customWidth="1"/>
    <col min="108" max="108" width="6.42578125" style="12" hidden="1" customWidth="1"/>
    <col min="109" max="109" width="15.7109375" style="12" hidden="1" customWidth="1"/>
    <col min="110" max="110" width="5.85546875" style="12" hidden="1" customWidth="1"/>
    <col min="111" max="111" width="6.140625" style="12" hidden="1" customWidth="1"/>
    <col min="112" max="112" width="4.5703125" style="12" hidden="1" customWidth="1"/>
    <col min="113" max="113" width="4.7109375" style="12" hidden="1" customWidth="1"/>
    <col min="114" max="114" width="4.5703125" style="12" hidden="1" customWidth="1"/>
    <col min="115" max="115" width="5.7109375" style="12" hidden="1" customWidth="1"/>
    <col min="116" max="116" width="5.42578125" style="12" hidden="1" customWidth="1"/>
    <col min="117" max="117" width="4.140625" style="12" hidden="1" customWidth="1"/>
    <col min="118" max="118" width="5.7109375" style="14" customWidth="1"/>
    <col min="119" max="119" width="17.140625" style="12" customWidth="1"/>
    <col min="120" max="120" width="4.28515625" style="14" customWidth="1"/>
    <col min="121" max="121" width="5.7109375" style="13" customWidth="1"/>
    <col min="122" max="122" width="2.85546875" style="12" customWidth="1"/>
    <col min="123" max="125" width="9.140625" style="12"/>
    <col min="126" max="129" width="9.140625" style="12" customWidth="1"/>
    <col min="130" max="16384" width="9.140625" style="12"/>
  </cols>
  <sheetData>
    <row r="1" spans="2:129" ht="18.75" customHeight="1" x14ac:dyDescent="0.25">
      <c r="T1" s="76"/>
      <c r="U1" s="76"/>
      <c r="V1" s="76"/>
      <c r="AL1" s="14"/>
    </row>
    <row r="2" spans="2:129" s="14" customFormat="1" ht="28.5" hidden="1" customHeight="1" x14ac:dyDescent="0.25">
      <c r="H2" s="11"/>
      <c r="I2" s="12">
        <f>COLUMN()</f>
        <v>9</v>
      </c>
      <c r="J2" s="14">
        <f>COLUMN()</f>
        <v>10</v>
      </c>
      <c r="K2" s="12">
        <f>COLUMN()</f>
        <v>11</v>
      </c>
      <c r="L2" s="12">
        <f>COLUMN()</f>
        <v>12</v>
      </c>
      <c r="M2" s="12">
        <f>COLUMN()</f>
        <v>13</v>
      </c>
      <c r="N2" s="12">
        <f>COLUMN()</f>
        <v>14</v>
      </c>
      <c r="O2" s="12">
        <f>COLUMN()</f>
        <v>15</v>
      </c>
      <c r="P2" s="12">
        <f>COLUMN()</f>
        <v>16</v>
      </c>
      <c r="Q2" s="14">
        <f>COLUMN()</f>
        <v>17</v>
      </c>
      <c r="R2" s="12"/>
      <c r="S2" s="14">
        <f>COLUMN()</f>
        <v>19</v>
      </c>
      <c r="T2" s="76">
        <f>COLUMN()</f>
        <v>20</v>
      </c>
      <c r="U2" s="76"/>
      <c r="V2" s="76">
        <f>COLUMN()</f>
        <v>22</v>
      </c>
      <c r="W2" s="14">
        <f>COLUMN()</f>
        <v>23</v>
      </c>
      <c r="X2" s="12">
        <f>COLUMN()</f>
        <v>24</v>
      </c>
      <c r="Y2" s="12">
        <f>COLUMN()</f>
        <v>25</v>
      </c>
      <c r="Z2" s="14">
        <f>COLUMN()</f>
        <v>26</v>
      </c>
      <c r="AA2" s="14">
        <f>COLUMN()</f>
        <v>27</v>
      </c>
      <c r="AB2" s="14">
        <f>COLUMN()</f>
        <v>28</v>
      </c>
      <c r="AC2" s="14">
        <f>COLUMN()</f>
        <v>29</v>
      </c>
      <c r="AD2" s="14">
        <f>COLUMN()</f>
        <v>30</v>
      </c>
      <c r="AE2" s="14">
        <f>COLUMN()</f>
        <v>31</v>
      </c>
      <c r="AF2" s="14">
        <f>COLUMN()</f>
        <v>32</v>
      </c>
      <c r="AG2" s="14">
        <f>COLUMN()</f>
        <v>33</v>
      </c>
      <c r="AH2" s="14">
        <f>COLUMN()</f>
        <v>34</v>
      </c>
      <c r="AI2" s="14">
        <f>COLUMN()</f>
        <v>35</v>
      </c>
      <c r="AJ2" s="14">
        <f>COLUMN()</f>
        <v>36</v>
      </c>
      <c r="AK2" s="14">
        <f>COLUMN()</f>
        <v>37</v>
      </c>
      <c r="AL2" s="14">
        <f>COLUMN()</f>
        <v>38</v>
      </c>
      <c r="AM2" s="14">
        <f>COLUMN()</f>
        <v>39</v>
      </c>
      <c r="AN2" s="12"/>
      <c r="AO2" s="12">
        <f>COLUMN()</f>
        <v>41</v>
      </c>
      <c r="AP2" s="12">
        <f>COLUMN()</f>
        <v>42</v>
      </c>
      <c r="AQ2" s="12">
        <f>COLUMN()</f>
        <v>43</v>
      </c>
      <c r="AR2" s="12">
        <f>COLUMN()</f>
        <v>44</v>
      </c>
      <c r="AS2" s="12">
        <f>COLUMN()</f>
        <v>45</v>
      </c>
      <c r="AT2" s="12">
        <f>COLUMN()</f>
        <v>46</v>
      </c>
      <c r="AU2" s="12">
        <f>COLUMN()</f>
        <v>47</v>
      </c>
      <c r="AV2" s="14">
        <f>COLUMN()</f>
        <v>48</v>
      </c>
      <c r="AW2" s="12">
        <f>COLUMN()</f>
        <v>49</v>
      </c>
      <c r="AX2" s="12">
        <f>COLUMN()</f>
        <v>50</v>
      </c>
      <c r="AY2" s="12"/>
      <c r="AZ2" s="12">
        <f>COLUMN()</f>
        <v>52</v>
      </c>
      <c r="BA2" s="12">
        <f>COLUMN()</f>
        <v>53</v>
      </c>
      <c r="BB2" s="12">
        <f>COLUMN()</f>
        <v>54</v>
      </c>
      <c r="BC2" s="12">
        <f>COLUMN()</f>
        <v>55</v>
      </c>
      <c r="BD2" s="12">
        <f>COLUMN()</f>
        <v>56</v>
      </c>
      <c r="BE2" s="14">
        <f>COLUMN()</f>
        <v>57</v>
      </c>
      <c r="BF2" s="12">
        <f>COLUMN()</f>
        <v>58</v>
      </c>
      <c r="BG2" s="12">
        <f>COLUMN()</f>
        <v>59</v>
      </c>
      <c r="BH2" s="12"/>
      <c r="BI2" s="12">
        <f>COLUMN()</f>
        <v>61</v>
      </c>
      <c r="BJ2" s="12">
        <f>COLUMN()</f>
        <v>62</v>
      </c>
      <c r="BK2" s="12">
        <f>COLUMN()</f>
        <v>63</v>
      </c>
      <c r="BL2" s="12">
        <f>COLUMN()</f>
        <v>64</v>
      </c>
      <c r="BM2" s="12">
        <f>COLUMN()</f>
        <v>65</v>
      </c>
      <c r="BN2" s="14">
        <f>COLUMN()</f>
        <v>66</v>
      </c>
      <c r="BO2" s="12">
        <f>COLUMN()</f>
        <v>67</v>
      </c>
      <c r="BP2" s="12">
        <f>COLUMN()</f>
        <v>68</v>
      </c>
      <c r="BQ2" s="12"/>
      <c r="BR2" s="12">
        <f>COLUMN()</f>
        <v>70</v>
      </c>
      <c r="BS2" s="12">
        <f>COLUMN()</f>
        <v>71</v>
      </c>
      <c r="BT2" s="12">
        <f>COLUMN()</f>
        <v>72</v>
      </c>
      <c r="BU2" s="12">
        <f>COLUMN()</f>
        <v>73</v>
      </c>
      <c r="BV2" s="12">
        <f>COLUMN()</f>
        <v>74</v>
      </c>
      <c r="BW2" s="12">
        <f>COLUMN()</f>
        <v>75</v>
      </c>
      <c r="BX2" s="12">
        <f>COLUMN()</f>
        <v>76</v>
      </c>
      <c r="BY2" s="12">
        <f>COLUMN()</f>
        <v>77</v>
      </c>
      <c r="BZ2" s="12">
        <f>COLUMN()</f>
        <v>78</v>
      </c>
      <c r="CA2" s="12">
        <f>COLUMN()</f>
        <v>79</v>
      </c>
      <c r="CB2" s="12">
        <f>COLUMN()</f>
        <v>80</v>
      </c>
      <c r="CC2" s="12">
        <f>COLUMN()</f>
        <v>81</v>
      </c>
      <c r="CD2" s="12">
        <f>COLUMN()</f>
        <v>82</v>
      </c>
      <c r="CE2" s="12">
        <f>COLUMN()</f>
        <v>83</v>
      </c>
      <c r="CF2" s="12">
        <f>COLUMN()</f>
        <v>84</v>
      </c>
      <c r="CG2" s="12">
        <f>COLUMN()</f>
        <v>85</v>
      </c>
      <c r="CH2" s="12">
        <f>COLUMN()</f>
        <v>86</v>
      </c>
      <c r="CI2" s="12">
        <f>COLUMN()</f>
        <v>87</v>
      </c>
      <c r="CJ2" s="14">
        <f>COLUMN()</f>
        <v>88</v>
      </c>
      <c r="CK2" s="12">
        <f>COLUMN()</f>
        <v>89</v>
      </c>
      <c r="CL2" s="12"/>
      <c r="CM2" s="12">
        <f>COLUMN()</f>
        <v>91</v>
      </c>
      <c r="CN2" s="12">
        <f>COLUMN()</f>
        <v>92</v>
      </c>
      <c r="CO2" s="12">
        <f>COLUMN()</f>
        <v>93</v>
      </c>
      <c r="CP2" s="12">
        <f>COLUMN()</f>
        <v>94</v>
      </c>
      <c r="CQ2" s="12">
        <f>COLUMN()</f>
        <v>95</v>
      </c>
      <c r="CR2" s="12">
        <f>COLUMN()</f>
        <v>96</v>
      </c>
      <c r="CS2" s="12">
        <f>COLUMN()</f>
        <v>97</v>
      </c>
      <c r="CT2" s="12">
        <f>COLUMN()</f>
        <v>98</v>
      </c>
      <c r="CU2" s="12">
        <f>COLUMN()</f>
        <v>99</v>
      </c>
      <c r="CV2" s="14">
        <f>COLUMN()</f>
        <v>100</v>
      </c>
      <c r="CW2" s="12">
        <f>COLUMN()</f>
        <v>101</v>
      </c>
      <c r="CX2" s="14">
        <f>COLUMN()</f>
        <v>102</v>
      </c>
      <c r="CY2" s="12">
        <f>COLUMN()</f>
        <v>103</v>
      </c>
      <c r="CZ2" s="14">
        <f>COLUMN()</f>
        <v>104</v>
      </c>
      <c r="DA2" s="12">
        <f>COLUMN()</f>
        <v>105</v>
      </c>
      <c r="DB2" s="12"/>
      <c r="DC2" s="12">
        <f>COLUMN()</f>
        <v>107</v>
      </c>
      <c r="DD2" s="12">
        <f>COLUMN()</f>
        <v>108</v>
      </c>
      <c r="DE2" s="12">
        <f>COLUMN()</f>
        <v>109</v>
      </c>
      <c r="DF2" s="12">
        <f>COLUMN()</f>
        <v>110</v>
      </c>
      <c r="DG2" s="12">
        <f>COLUMN()</f>
        <v>111</v>
      </c>
      <c r="DH2" s="12">
        <f>COLUMN()</f>
        <v>112</v>
      </c>
      <c r="DI2" s="12">
        <f>COLUMN()</f>
        <v>113</v>
      </c>
      <c r="DJ2" s="12">
        <f>COLUMN()</f>
        <v>114</v>
      </c>
      <c r="DK2" s="12">
        <f>COLUMN()</f>
        <v>115</v>
      </c>
      <c r="DL2" s="12">
        <f>COLUMN()</f>
        <v>116</v>
      </c>
      <c r="DM2" s="12">
        <f>COLUMN()</f>
        <v>117</v>
      </c>
      <c r="DN2" s="14">
        <f>COLUMN()</f>
        <v>118</v>
      </c>
      <c r="DO2" s="12">
        <f>COLUMN()</f>
        <v>119</v>
      </c>
      <c r="DP2" s="14">
        <f>COLUMN()</f>
        <v>120</v>
      </c>
      <c r="DQ2" s="12">
        <f>COLUMN()</f>
        <v>121</v>
      </c>
    </row>
    <row r="3" spans="2:129" s="14" customFormat="1" ht="36.75" hidden="1" customHeight="1" x14ac:dyDescent="0.25">
      <c r="J3" s="84" t="str">
        <f>V3</f>
        <v>V</v>
      </c>
      <c r="K3" s="14" t="str">
        <f t="shared" ref="K3:L3" si="0">SUBSTITUTE(ADDRESS(ROW(),K2,4),ROW(),"")</f>
        <v>K</v>
      </c>
      <c r="L3" s="14" t="str">
        <f t="shared" si="0"/>
        <v>L</v>
      </c>
      <c r="M3" s="14" t="str">
        <f t="shared" ref="M3:Q3" si="1">SUBSTITUTE(ADDRESS(ROW(),M2,4),ROW(),"")</f>
        <v>M</v>
      </c>
      <c r="N3" s="14" t="str">
        <f t="shared" si="1"/>
        <v>N</v>
      </c>
      <c r="O3" s="14" t="str">
        <f t="shared" si="1"/>
        <v>O</v>
      </c>
      <c r="P3" s="14" t="str">
        <f t="shared" si="1"/>
        <v>P</v>
      </c>
      <c r="Q3" s="14" t="str">
        <f t="shared" si="1"/>
        <v>Q</v>
      </c>
      <c r="S3" s="14" t="str">
        <f t="shared" ref="S3:AM3" si="2">SUBSTITUTE(ADDRESS(ROW(),S2,4),ROW(),"")</f>
        <v>S</v>
      </c>
      <c r="T3" s="77" t="str">
        <f t="shared" si="2"/>
        <v>T</v>
      </c>
      <c r="U3" s="76"/>
      <c r="V3" s="85" t="str">
        <f t="shared" si="2"/>
        <v>V</v>
      </c>
      <c r="W3" s="1" t="str">
        <f t="shared" si="2"/>
        <v>W</v>
      </c>
      <c r="X3" s="1" t="str">
        <f t="shared" si="2"/>
        <v>X</v>
      </c>
      <c r="Y3" s="1" t="str">
        <f t="shared" si="2"/>
        <v>Y</v>
      </c>
      <c r="Z3" s="1" t="str">
        <f t="shared" si="2"/>
        <v>Z</v>
      </c>
      <c r="AA3" s="1" t="str">
        <f t="shared" si="2"/>
        <v>AA</v>
      </c>
      <c r="AB3" s="23" t="str">
        <f t="shared" ref="AB3:AJ3" si="3">SUBSTITUTE(ADDRESS(ROW(),AB2,4),ROW(),"")</f>
        <v>AB</v>
      </c>
      <c r="AC3" s="23" t="str">
        <f t="shared" si="3"/>
        <v>AC</v>
      </c>
      <c r="AD3" s="23" t="str">
        <f t="shared" si="3"/>
        <v>AD</v>
      </c>
      <c r="AE3" s="1" t="str">
        <f t="shared" si="3"/>
        <v>AE</v>
      </c>
      <c r="AF3" s="1" t="str">
        <f t="shared" si="3"/>
        <v>AF</v>
      </c>
      <c r="AG3" s="1" t="str">
        <f t="shared" si="3"/>
        <v>AG</v>
      </c>
      <c r="AH3" s="23" t="str">
        <f t="shared" si="3"/>
        <v>AH</v>
      </c>
      <c r="AI3" s="23" t="str">
        <f t="shared" si="3"/>
        <v>AI</v>
      </c>
      <c r="AJ3" s="23" t="str">
        <f t="shared" si="3"/>
        <v>AJ</v>
      </c>
      <c r="AK3" s="1" t="str">
        <f t="shared" si="2"/>
        <v>AK</v>
      </c>
      <c r="AL3" s="1" t="str">
        <f t="shared" si="2"/>
        <v>AL</v>
      </c>
      <c r="AM3" s="1" t="str">
        <f t="shared" si="2"/>
        <v>AM</v>
      </c>
      <c r="AO3" s="14" t="str">
        <f t="shared" ref="AO3:AX3" si="4">SUBSTITUTE(ADDRESS(ROW(),AO2,4),ROW(),"")</f>
        <v>AO</v>
      </c>
      <c r="AP3" s="14" t="str">
        <f t="shared" si="4"/>
        <v>AP</v>
      </c>
      <c r="AQ3" s="14" t="str">
        <f t="shared" si="4"/>
        <v>AQ</v>
      </c>
      <c r="AR3" s="14" t="str">
        <f t="shared" si="4"/>
        <v>AR</v>
      </c>
      <c r="AS3" s="14" t="str">
        <f t="shared" si="4"/>
        <v>AS</v>
      </c>
      <c r="AT3" s="14" t="str">
        <f t="shared" si="4"/>
        <v>AT</v>
      </c>
      <c r="AU3" s="14" t="str">
        <f t="shared" si="4"/>
        <v>AU</v>
      </c>
      <c r="AV3" s="14" t="str">
        <f t="shared" si="4"/>
        <v>AV</v>
      </c>
      <c r="AW3" s="14" t="str">
        <f t="shared" si="4"/>
        <v>AW</v>
      </c>
      <c r="AX3" s="14" t="str">
        <f t="shared" si="4"/>
        <v>AX</v>
      </c>
      <c r="AZ3" s="14" t="str">
        <f t="shared" ref="AZ3:BG3" si="5">SUBSTITUTE(ADDRESS(ROW(),AZ2,4),ROW(),"")</f>
        <v>AZ</v>
      </c>
      <c r="BA3" s="14" t="str">
        <f t="shared" si="5"/>
        <v>BA</v>
      </c>
      <c r="BB3" s="14" t="str">
        <f t="shared" si="5"/>
        <v>BB</v>
      </c>
      <c r="BC3" s="14" t="str">
        <f t="shared" si="5"/>
        <v>BC</v>
      </c>
      <c r="BD3" s="14" t="str">
        <f t="shared" si="5"/>
        <v>BD</v>
      </c>
      <c r="BE3" s="14" t="str">
        <f t="shared" si="5"/>
        <v>BE</v>
      </c>
      <c r="BF3" s="14" t="str">
        <f t="shared" si="5"/>
        <v>BF</v>
      </c>
      <c r="BG3" s="14" t="str">
        <f t="shared" si="5"/>
        <v>BG</v>
      </c>
      <c r="BI3" s="14" t="str">
        <f t="shared" ref="BI3:BP3" si="6">SUBSTITUTE(ADDRESS(ROW(),BI2,4),ROW(),"")</f>
        <v>BI</v>
      </c>
      <c r="BJ3" s="14" t="str">
        <f t="shared" si="6"/>
        <v>BJ</v>
      </c>
      <c r="BK3" s="14" t="str">
        <f t="shared" si="6"/>
        <v>BK</v>
      </c>
      <c r="BL3" s="14" t="str">
        <f t="shared" si="6"/>
        <v>BL</v>
      </c>
      <c r="BM3" s="14" t="str">
        <f t="shared" si="6"/>
        <v>BM</v>
      </c>
      <c r="BN3" s="14" t="str">
        <f t="shared" si="6"/>
        <v>BN</v>
      </c>
      <c r="BO3" s="14" t="str">
        <f t="shared" si="6"/>
        <v>BO</v>
      </c>
      <c r="BP3" s="14" t="str">
        <f t="shared" si="6"/>
        <v>BP</v>
      </c>
      <c r="BR3" s="14" t="str">
        <f t="shared" ref="BR3:CK3" si="7">SUBSTITUTE(ADDRESS(ROW(),BR2,4),ROW(),"")</f>
        <v>BR</v>
      </c>
      <c r="BS3" s="14" t="str">
        <f t="shared" si="7"/>
        <v>BS</v>
      </c>
      <c r="BT3" s="14" t="str">
        <f t="shared" si="7"/>
        <v>BT</v>
      </c>
      <c r="BU3" s="14" t="str">
        <f t="shared" si="7"/>
        <v>BU</v>
      </c>
      <c r="BV3" s="14" t="str">
        <f t="shared" si="7"/>
        <v>BV</v>
      </c>
      <c r="BW3" s="14" t="str">
        <f t="shared" si="7"/>
        <v>BW</v>
      </c>
      <c r="BX3" s="14" t="str">
        <f t="shared" si="7"/>
        <v>BX</v>
      </c>
      <c r="BY3" s="14" t="str">
        <f t="shared" si="7"/>
        <v>BY</v>
      </c>
      <c r="BZ3" s="14" t="str">
        <f t="shared" si="7"/>
        <v>BZ</v>
      </c>
      <c r="CA3" s="14" t="str">
        <f t="shared" si="7"/>
        <v>CA</v>
      </c>
      <c r="CB3" s="14" t="str">
        <f t="shared" si="7"/>
        <v>CB</v>
      </c>
      <c r="CC3" s="14" t="str">
        <f t="shared" si="7"/>
        <v>CC</v>
      </c>
      <c r="CD3" s="14" t="str">
        <f t="shared" si="7"/>
        <v>CD</v>
      </c>
      <c r="CE3" s="14" t="str">
        <f t="shared" si="7"/>
        <v>CE</v>
      </c>
      <c r="CF3" s="14" t="str">
        <f t="shared" si="7"/>
        <v>CF</v>
      </c>
      <c r="CG3" s="14" t="str">
        <f t="shared" si="7"/>
        <v>CG</v>
      </c>
      <c r="CH3" s="14" t="str">
        <f t="shared" si="7"/>
        <v>CH</v>
      </c>
      <c r="CI3" s="14" t="str">
        <f t="shared" si="7"/>
        <v>CI</v>
      </c>
      <c r="CJ3" s="14" t="str">
        <f t="shared" si="7"/>
        <v>CJ</v>
      </c>
      <c r="CK3" s="14" t="str">
        <f t="shared" si="7"/>
        <v>CK</v>
      </c>
      <c r="CM3" s="14" t="str">
        <f t="shared" ref="CM3:DA3" si="8">SUBSTITUTE(ADDRESS(ROW(),CM2,4),ROW(),"")</f>
        <v>CM</v>
      </c>
      <c r="CN3" s="14" t="str">
        <f t="shared" si="8"/>
        <v>CN</v>
      </c>
      <c r="CO3" s="14" t="str">
        <f t="shared" si="8"/>
        <v>CO</v>
      </c>
      <c r="CP3" s="14" t="str">
        <f t="shared" si="8"/>
        <v>CP</v>
      </c>
      <c r="CQ3" s="14" t="str">
        <f t="shared" si="8"/>
        <v>CQ</v>
      </c>
      <c r="CR3" s="14" t="str">
        <f t="shared" si="8"/>
        <v>CR</v>
      </c>
      <c r="CS3" s="14" t="str">
        <f t="shared" si="8"/>
        <v>CS</v>
      </c>
      <c r="CT3" s="14" t="str">
        <f t="shared" si="8"/>
        <v>CT</v>
      </c>
      <c r="CU3" s="14" t="str">
        <f t="shared" si="8"/>
        <v>CU</v>
      </c>
      <c r="CV3" s="14" t="str">
        <f t="shared" si="8"/>
        <v>CV</v>
      </c>
      <c r="CW3" s="14" t="str">
        <f t="shared" si="8"/>
        <v>CW</v>
      </c>
      <c r="CX3" s="14" t="str">
        <f t="shared" si="8"/>
        <v>CX</v>
      </c>
      <c r="CY3" s="14" t="str">
        <f t="shared" si="8"/>
        <v>CY</v>
      </c>
      <c r="CZ3" s="14" t="str">
        <f t="shared" si="8"/>
        <v>CZ</v>
      </c>
      <c r="DA3" s="14" t="str">
        <f t="shared" si="8"/>
        <v>DA</v>
      </c>
      <c r="DC3" s="14" t="str">
        <f t="shared" ref="DC3:DQ3" si="9">SUBSTITUTE(ADDRESS(ROW(),DC2,4),ROW(),"")</f>
        <v>DC</v>
      </c>
      <c r="DD3" s="14" t="str">
        <f t="shared" si="9"/>
        <v>DD</v>
      </c>
      <c r="DE3" s="14" t="str">
        <f t="shared" si="9"/>
        <v>DE</v>
      </c>
      <c r="DF3" s="14" t="str">
        <f t="shared" si="9"/>
        <v>DF</v>
      </c>
      <c r="DG3" s="14" t="str">
        <f t="shared" si="9"/>
        <v>DG</v>
      </c>
      <c r="DH3" s="14" t="str">
        <f t="shared" si="9"/>
        <v>DH</v>
      </c>
      <c r="DI3" s="14" t="str">
        <f t="shared" si="9"/>
        <v>DI</v>
      </c>
      <c r="DJ3" s="14" t="str">
        <f t="shared" si="9"/>
        <v>DJ</v>
      </c>
      <c r="DK3" s="14" t="str">
        <f t="shared" si="9"/>
        <v>DK</v>
      </c>
      <c r="DL3" s="14" t="str">
        <f t="shared" si="9"/>
        <v>DL</v>
      </c>
      <c r="DM3" s="14" t="str">
        <f t="shared" si="9"/>
        <v>DM</v>
      </c>
      <c r="DN3" s="14" t="str">
        <f t="shared" si="9"/>
        <v>DN</v>
      </c>
      <c r="DO3" s="14" t="str">
        <f t="shared" si="9"/>
        <v>DO</v>
      </c>
      <c r="DP3" s="14" t="str">
        <f t="shared" si="9"/>
        <v>DP</v>
      </c>
      <c r="DQ3" s="14" t="str">
        <f t="shared" si="9"/>
        <v>DQ</v>
      </c>
    </row>
    <row r="4" spans="2:129" s="14" customFormat="1" ht="18" hidden="1" customHeight="1" x14ac:dyDescent="0.25">
      <c r="I4" s="43">
        <f>ROW()+4</f>
        <v>8</v>
      </c>
      <c r="J4" s="14" t="str">
        <f>CONCATENATE(J3,I4)</f>
        <v>V8</v>
      </c>
      <c r="K4" s="14" t="str">
        <f>CONCATENATE(K3,I4)</f>
        <v>K8</v>
      </c>
      <c r="L4" s="14" t="str">
        <f>CONCATENATE(M3,I4)</f>
        <v>M8</v>
      </c>
      <c r="M4" s="14" t="str">
        <f t="shared" ref="M4:V4" si="10">CONCATENATE(M3,$I$5)</f>
        <v>M45</v>
      </c>
      <c r="N4" s="14" t="str">
        <f t="shared" si="10"/>
        <v>N45</v>
      </c>
      <c r="O4" s="14" t="str">
        <f t="shared" si="10"/>
        <v>O45</v>
      </c>
      <c r="P4" s="14" t="str">
        <f t="shared" si="10"/>
        <v>P45</v>
      </c>
      <c r="Q4" s="14" t="str">
        <f t="shared" si="10"/>
        <v>Q45</v>
      </c>
      <c r="S4" s="14" t="str">
        <f t="shared" si="10"/>
        <v>S45</v>
      </c>
      <c r="T4" s="77" t="str">
        <f t="shared" si="10"/>
        <v>T45</v>
      </c>
      <c r="U4" s="76"/>
      <c r="V4" s="77" t="str">
        <f t="shared" si="10"/>
        <v>V45</v>
      </c>
      <c r="W4" s="1"/>
      <c r="X4" s="1">
        <f>$I4</f>
        <v>8</v>
      </c>
      <c r="Y4" s="1"/>
      <c r="Z4" s="1"/>
      <c r="AA4" s="1"/>
      <c r="AB4" s="1"/>
      <c r="AC4" s="1"/>
      <c r="AD4" s="1"/>
      <c r="AE4" s="1" t="str">
        <f>CONCATENATE(AE3,X$4)</f>
        <v>AE8</v>
      </c>
      <c r="AF4" s="1" t="str">
        <f>CONCATENATE(AF3,$X$4)</f>
        <v>AF8</v>
      </c>
      <c r="AG4" s="1" t="str">
        <f>CONCATENATE(AG3,$X$4)</f>
        <v>AG8</v>
      </c>
      <c r="AH4" s="23"/>
      <c r="AI4" s="23"/>
      <c r="AJ4" s="23"/>
      <c r="AK4" s="1"/>
      <c r="AL4" s="47"/>
      <c r="AM4" s="1"/>
      <c r="AQ4" s="14">
        <f>$I4</f>
        <v>8</v>
      </c>
      <c r="AR4" s="14" t="str">
        <f>CONCATENATE(AR3,$AQ$4)</f>
        <v>AR8</v>
      </c>
      <c r="AS4" s="14" t="str">
        <f>CONCATENATE(AS3,$AQ$4)</f>
        <v>AS8</v>
      </c>
      <c r="AT4" s="14" t="str">
        <f>CONCATENATE(AT3,$AQ$4)</f>
        <v>AT8</v>
      </c>
      <c r="AV4" s="22"/>
      <c r="AW4" s="22"/>
      <c r="AX4" s="24"/>
      <c r="AZ4" s="14">
        <f>$I4</f>
        <v>8</v>
      </c>
      <c r="BA4" s="14" t="str">
        <f>CONCATENATE(BA3,$AQ$4)</f>
        <v>BA8</v>
      </c>
      <c r="BB4" s="14" t="str">
        <f>CONCATENATE(BB3,$AQ$4)</f>
        <v>BB8</v>
      </c>
      <c r="BC4" s="14" t="str">
        <f>CONCATENATE(BC3,$AQ$4)</f>
        <v>BC8</v>
      </c>
      <c r="BE4" s="22"/>
      <c r="BF4" s="22"/>
      <c r="BG4" s="24"/>
      <c r="BI4" s="14">
        <f>$I4</f>
        <v>8</v>
      </c>
      <c r="BJ4" s="14" t="str">
        <f>CONCATENATE(BJ3,$AQ$4)</f>
        <v>BJ8</v>
      </c>
      <c r="BK4" s="14" t="str">
        <f>CONCATENATE(BK3,$AQ$4)</f>
        <v>BK8</v>
      </c>
      <c r="BL4" s="14" t="str">
        <f>CONCATENATE(BL3,$AQ$4)</f>
        <v>BL8</v>
      </c>
      <c r="BN4" s="22"/>
      <c r="BO4" s="22"/>
      <c r="BP4" s="24"/>
      <c r="BW4" s="14">
        <f>X4</f>
        <v>8</v>
      </c>
      <c r="BX4" s="14" t="str">
        <f>CONCATENATE(BX3,$BW$4)</f>
        <v>BX8</v>
      </c>
      <c r="BY4" s="14" t="str">
        <f>CONCATENATE(BY3,$BW$4)</f>
        <v>BY8</v>
      </c>
      <c r="BZ4" s="14" t="str">
        <f>CONCATENATE(BZ3,$BW$4)</f>
        <v>BZ8</v>
      </c>
      <c r="CA4" s="14" t="str">
        <f>CONCATENATE(CA3,$BW$4)</f>
        <v>CA8</v>
      </c>
      <c r="CC4" s="14" t="s">
        <v>20</v>
      </c>
      <c r="CH4" s="20"/>
      <c r="CI4" s="20"/>
      <c r="CJ4" s="20"/>
      <c r="CK4" s="20"/>
      <c r="CM4" s="14">
        <f>X4</f>
        <v>8</v>
      </c>
      <c r="CN4" s="14" t="str">
        <f>CONCATENATE(CN3,$AQ$4)</f>
        <v>CN8</v>
      </c>
      <c r="CO4" s="14" t="str">
        <f>CONCATENATE(CO3,$AQ$4)</f>
        <v>CO8</v>
      </c>
      <c r="CP4" s="14" t="str">
        <f>CONCATENATE(CP3,$AQ$4)</f>
        <v>CP8</v>
      </c>
      <c r="CQ4" s="14" t="str">
        <f>CONCATENATE(CQ3,$AQ$4)</f>
        <v>CQ8</v>
      </c>
      <c r="CS4" s="14" t="s">
        <v>20</v>
      </c>
      <c r="CX4" s="20"/>
      <c r="CY4" s="20"/>
      <c r="CZ4" s="20"/>
      <c r="DA4" s="20"/>
      <c r="DC4" s="14">
        <f>X4</f>
        <v>8</v>
      </c>
      <c r="DD4" s="14" t="str">
        <f>CONCATENATE(DD3,$DC$4)</f>
        <v>DD8</v>
      </c>
      <c r="DE4" s="14" t="str">
        <f>CONCATENATE(DE3,$DC$4)</f>
        <v>DE8</v>
      </c>
      <c r="DF4" s="14" t="str">
        <f>CONCATENATE(DF3,$DC$4)</f>
        <v>DF8</v>
      </c>
      <c r="DG4" s="14" t="str">
        <f>CONCATENATE(DG3,$DC$4)</f>
        <v>DG8</v>
      </c>
      <c r="DI4" s="14" t="s">
        <v>20</v>
      </c>
      <c r="DN4" s="20"/>
      <c r="DO4" s="20"/>
      <c r="DP4" s="20"/>
      <c r="DQ4" s="26"/>
    </row>
    <row r="5" spans="2:129" s="14" customFormat="1" ht="18" hidden="1" customHeight="1" x14ac:dyDescent="0.25">
      <c r="I5" s="43">
        <f>COUNTA(M8:M45)+ROW()+2</f>
        <v>45</v>
      </c>
      <c r="J5" s="14" t="str">
        <f>CONCATENATE(J3,I5)</f>
        <v>V45</v>
      </c>
      <c r="K5" s="14" t="str">
        <f>CONCATENATE(I3,I5)</f>
        <v>45</v>
      </c>
      <c r="L5" s="14" t="str">
        <f>CONCATENATE(M3,I5)</f>
        <v>M45</v>
      </c>
      <c r="M5" s="14">
        <v>3</v>
      </c>
      <c r="N5" s="14">
        <v>4</v>
      </c>
      <c r="O5" s="14">
        <v>5</v>
      </c>
      <c r="P5" s="14">
        <v>6</v>
      </c>
      <c r="Q5" s="14">
        <v>7</v>
      </c>
      <c r="T5" s="77">
        <v>2</v>
      </c>
      <c r="U5" s="76"/>
      <c r="V5" s="85">
        <v>12</v>
      </c>
      <c r="W5" s="1"/>
      <c r="X5" s="1">
        <f>$I5</f>
        <v>45</v>
      </c>
      <c r="Y5" s="1"/>
      <c r="Z5" s="1"/>
      <c r="AA5" s="1"/>
      <c r="AB5" s="23"/>
      <c r="AC5" s="23"/>
      <c r="AD5" s="23"/>
      <c r="AE5" s="1" t="str">
        <f>CONCATENATE(AE3,$X$5)</f>
        <v>AE45</v>
      </c>
      <c r="AF5" s="1" t="str">
        <f>CONCATENATE(AF3,$X$5)</f>
        <v>AF45</v>
      </c>
      <c r="AG5" s="1" t="str">
        <f>CONCATENATE(AG3,$X$5)</f>
        <v>AG45</v>
      </c>
      <c r="AH5" s="23"/>
      <c r="AI5" s="23"/>
      <c r="AJ5" s="23" t="s">
        <v>21</v>
      </c>
      <c r="AK5" s="1"/>
      <c r="AL5" s="47"/>
      <c r="AM5" s="1"/>
      <c r="AQ5" s="14">
        <f>$I5</f>
        <v>45</v>
      </c>
      <c r="AR5" s="14" t="str">
        <f>CONCATENATE(AR3,$AQ$5)</f>
        <v>AR45</v>
      </c>
      <c r="AS5" s="14" t="str">
        <f>CONCATENATE(AS3,$AQ$5)</f>
        <v>AS45</v>
      </c>
      <c r="AT5" s="14" t="str">
        <f>CONCATENATE(AT3,$AQ$5)</f>
        <v>AT45</v>
      </c>
      <c r="AV5" s="22"/>
      <c r="AW5" s="22"/>
      <c r="AX5" s="24"/>
      <c r="AZ5" s="14">
        <f>$I5</f>
        <v>45</v>
      </c>
      <c r="BA5" s="14" t="str">
        <f>CONCATENATE(BA3,$AQ$5)</f>
        <v>BA45</v>
      </c>
      <c r="BB5" s="14" t="str">
        <f>CONCATENATE(BB3,$AQ$5)</f>
        <v>BB45</v>
      </c>
      <c r="BC5" s="14" t="str">
        <f>CONCATENATE(BC3,$AQ$5)</f>
        <v>BC45</v>
      </c>
      <c r="BE5" s="22"/>
      <c r="BF5" s="22"/>
      <c r="BG5" s="24"/>
      <c r="BI5" s="14">
        <f>$I5</f>
        <v>45</v>
      </c>
      <c r="BJ5" s="14" t="str">
        <f>CONCATENATE(BJ3,$AQ$5)</f>
        <v>BJ45</v>
      </c>
      <c r="BK5" s="14" t="str">
        <f>CONCATENATE(BK3,$AQ$5)</f>
        <v>BK45</v>
      </c>
      <c r="BL5" s="14" t="str">
        <f>CONCATENATE(BL3,$AQ$5)</f>
        <v>BL45</v>
      </c>
      <c r="BN5" s="22"/>
      <c r="BO5" s="22"/>
      <c r="BP5" s="24"/>
      <c r="BW5" s="14">
        <f>X5</f>
        <v>45</v>
      </c>
      <c r="BX5" s="14" t="str">
        <f>CONCATENATE(BX3,$BW$5)</f>
        <v>BX45</v>
      </c>
      <c r="BY5" s="14" t="str">
        <f>CONCATENATE(BY3,$BW$5)</f>
        <v>BY45</v>
      </c>
      <c r="BZ5" s="14" t="str">
        <f>CONCATENATE(BZ3,$BW$5)</f>
        <v>BZ45</v>
      </c>
      <c r="CA5" s="14" t="str">
        <f>CONCATENATE(CA3,$BW$5)</f>
        <v>CA45</v>
      </c>
      <c r="CC5" s="14">
        <f ca="1">SUM(CJ8:CJ26)</f>
        <v>38</v>
      </c>
      <c r="CH5" s="20"/>
      <c r="CI5" s="20"/>
      <c r="CJ5" s="20"/>
      <c r="CK5" s="20"/>
      <c r="CM5" s="14">
        <f>X5</f>
        <v>45</v>
      </c>
      <c r="CN5" s="14" t="str">
        <f>CONCATENATE(CN3,$CM$5)</f>
        <v>CN45</v>
      </c>
      <c r="CO5" s="14" t="str">
        <f>CONCATENATE(CO3,$CM$5)</f>
        <v>CO45</v>
      </c>
      <c r="CP5" s="14" t="str">
        <f>CONCATENATE(CP3,$CM$5)</f>
        <v>CP45</v>
      </c>
      <c r="CQ5" s="14" t="str">
        <f>CONCATENATE(CQ3,$CM$5)</f>
        <v>CQ45</v>
      </c>
      <c r="CS5" s="14">
        <f ca="1">SUM(CZ8:CZ26)</f>
        <v>38</v>
      </c>
      <c r="CX5" s="20"/>
      <c r="CY5" s="20"/>
      <c r="CZ5" s="20"/>
      <c r="DA5" s="20"/>
      <c r="DC5" s="14">
        <f>X5</f>
        <v>45</v>
      </c>
      <c r="DD5" s="14" t="str">
        <f>CONCATENATE(DD3,$DC$5)</f>
        <v>DD45</v>
      </c>
      <c r="DE5" s="14" t="str">
        <f>CONCATENATE(DE3,$DC$5)</f>
        <v>DE45</v>
      </c>
      <c r="DF5" s="14" t="str">
        <f>CONCATENATE(DF3,$DC$5)</f>
        <v>DF45</v>
      </c>
      <c r="DG5" s="14" t="str">
        <f>CONCATENATE(DG3,$DC$5)</f>
        <v>DG45</v>
      </c>
      <c r="DI5" s="14">
        <f ca="1">SUM(DP8:DP26)</f>
        <v>38</v>
      </c>
      <c r="DN5" s="20"/>
      <c r="DO5" s="20"/>
      <c r="DP5" s="20"/>
      <c r="DQ5" s="26"/>
    </row>
    <row r="6" spans="2:129" s="29" customFormat="1" ht="19.5" customHeight="1" x14ac:dyDescent="0.25">
      <c r="B6" s="62" t="s">
        <v>6</v>
      </c>
      <c r="C6" s="62" t="str">
        <f>IF(C10="","",C10)</f>
        <v>Aston Villa</v>
      </c>
      <c r="D6" s="52"/>
      <c r="E6" s="52"/>
      <c r="F6" s="80"/>
      <c r="G6" s="80"/>
      <c r="H6" s="16"/>
      <c r="I6" s="3" t="s">
        <v>3</v>
      </c>
      <c r="J6" s="64" t="s">
        <v>29</v>
      </c>
      <c r="K6" s="4" t="s">
        <v>25</v>
      </c>
      <c r="L6" s="75" t="s">
        <v>29</v>
      </c>
      <c r="M6" s="64" t="s">
        <v>53</v>
      </c>
      <c r="N6" s="3" t="s">
        <v>0</v>
      </c>
      <c r="O6" s="3" t="s">
        <v>19</v>
      </c>
      <c r="P6" s="3" t="s">
        <v>1</v>
      </c>
      <c r="Q6" s="3" t="s">
        <v>1</v>
      </c>
      <c r="R6" s="3"/>
      <c r="S6" s="3" t="s">
        <v>22</v>
      </c>
      <c r="T6" s="78" t="s">
        <v>52</v>
      </c>
      <c r="U6" s="79"/>
      <c r="V6" s="79"/>
      <c r="W6" s="65" t="s">
        <v>2</v>
      </c>
      <c r="X6" s="51"/>
      <c r="Y6" s="2" t="s">
        <v>29</v>
      </c>
      <c r="Z6" s="59" t="s">
        <v>0</v>
      </c>
      <c r="AA6" s="63" t="s">
        <v>19</v>
      </c>
      <c r="AB6" s="72"/>
      <c r="AC6" s="72" t="s">
        <v>1</v>
      </c>
      <c r="AD6" s="72"/>
      <c r="AE6" s="59"/>
      <c r="AF6" s="59" t="s">
        <v>7</v>
      </c>
      <c r="AG6" s="59"/>
      <c r="AH6" s="98" t="s">
        <v>24</v>
      </c>
      <c r="AI6" s="98"/>
      <c r="AJ6" s="98"/>
      <c r="AK6" s="99" t="s">
        <v>26</v>
      </c>
      <c r="AL6" s="99"/>
      <c r="AM6" s="99"/>
      <c r="AN6" s="15"/>
      <c r="AO6" s="15"/>
      <c r="AP6" s="15"/>
      <c r="AQ6" s="15"/>
      <c r="AR6" s="15">
        <v>1</v>
      </c>
      <c r="AS6" s="15">
        <v>2</v>
      </c>
      <c r="AT6" s="15">
        <v>3</v>
      </c>
      <c r="AU6" s="15"/>
      <c r="AV6" s="68" t="s">
        <v>25</v>
      </c>
      <c r="AW6" s="7"/>
      <c r="AX6" s="9" t="s">
        <v>7</v>
      </c>
      <c r="AY6" s="15"/>
      <c r="AZ6" s="15"/>
      <c r="BA6" s="15">
        <v>1</v>
      </c>
      <c r="BB6" s="15">
        <v>2</v>
      </c>
      <c r="BC6" s="15">
        <v>3</v>
      </c>
      <c r="BD6" s="15"/>
      <c r="BE6" s="68" t="s">
        <v>25</v>
      </c>
      <c r="BF6" s="8"/>
      <c r="BG6" s="9" t="s">
        <v>7</v>
      </c>
      <c r="BH6" s="15"/>
      <c r="BI6" s="15"/>
      <c r="BJ6" s="15">
        <v>1</v>
      </c>
      <c r="BK6" s="15">
        <v>2</v>
      </c>
      <c r="BL6" s="15">
        <v>3</v>
      </c>
      <c r="BM6" s="15"/>
      <c r="BN6" s="68" t="s">
        <v>25</v>
      </c>
      <c r="BO6" s="8"/>
      <c r="BP6" s="9" t="s">
        <v>7</v>
      </c>
      <c r="BQ6" s="15"/>
      <c r="BR6" s="15"/>
      <c r="BS6" s="15"/>
      <c r="BT6" s="15"/>
      <c r="BU6" s="15"/>
      <c r="BV6" s="15"/>
      <c r="BW6" s="16"/>
      <c r="BX6" s="16">
        <v>1</v>
      </c>
      <c r="BY6" s="16">
        <v>2</v>
      </c>
      <c r="BZ6" s="16">
        <v>3</v>
      </c>
      <c r="CA6" s="16">
        <v>4</v>
      </c>
      <c r="CB6" s="16"/>
      <c r="CC6" s="16"/>
      <c r="CD6" s="16"/>
      <c r="CE6" s="16"/>
      <c r="CF6" s="16"/>
      <c r="CG6" s="16"/>
      <c r="CH6" s="55" t="s">
        <v>25</v>
      </c>
      <c r="CI6" s="27" t="s">
        <v>23</v>
      </c>
      <c r="CJ6" s="56" t="s">
        <v>15</v>
      </c>
      <c r="CK6" s="27" t="s">
        <v>7</v>
      </c>
      <c r="CL6" s="15"/>
      <c r="CM6" s="16"/>
      <c r="CN6" s="16">
        <v>1</v>
      </c>
      <c r="CO6" s="15">
        <v>2</v>
      </c>
      <c r="CP6" s="15">
        <v>3</v>
      </c>
      <c r="CQ6" s="15">
        <v>4</v>
      </c>
      <c r="CR6" s="15"/>
      <c r="CS6" s="15"/>
      <c r="CT6" s="15"/>
      <c r="CU6" s="15"/>
      <c r="CV6" s="16"/>
      <c r="CW6" s="15"/>
      <c r="CX6" s="55" t="s">
        <v>25</v>
      </c>
      <c r="CY6" s="27" t="s">
        <v>23</v>
      </c>
      <c r="CZ6" s="56" t="s">
        <v>15</v>
      </c>
      <c r="DA6" s="27" t="s">
        <v>7</v>
      </c>
      <c r="DB6" s="15"/>
      <c r="DC6" s="15"/>
      <c r="DD6" s="15">
        <v>1</v>
      </c>
      <c r="DE6" s="15">
        <v>2</v>
      </c>
      <c r="DF6" s="15">
        <v>3</v>
      </c>
      <c r="DG6" s="15">
        <v>4</v>
      </c>
      <c r="DH6" s="15"/>
      <c r="DI6" s="15"/>
      <c r="DJ6" s="15"/>
      <c r="DK6" s="15"/>
      <c r="DL6" s="15"/>
      <c r="DM6" s="15"/>
      <c r="DN6" s="55" t="s">
        <v>25</v>
      </c>
      <c r="DO6" s="27" t="s">
        <v>23</v>
      </c>
      <c r="DP6" s="27" t="s">
        <v>15</v>
      </c>
      <c r="DQ6" s="57" t="s">
        <v>7</v>
      </c>
      <c r="DS6" s="87"/>
      <c r="DT6" s="100" t="s">
        <v>76</v>
      </c>
      <c r="DU6" s="100"/>
      <c r="DV6" s="100"/>
    </row>
    <row r="7" spans="2:129" s="29" customFormat="1" ht="19.5" customHeight="1" x14ac:dyDescent="0.25">
      <c r="B7" s="61"/>
      <c r="C7" s="97" t="str">
        <f>IF(C13="","",C13)</f>
        <v>2023 - 2024</v>
      </c>
      <c r="D7" s="53"/>
      <c r="E7" s="53"/>
      <c r="F7" s="15"/>
      <c r="G7" s="15"/>
      <c r="H7" s="15"/>
      <c r="I7" s="3" t="s">
        <v>67</v>
      </c>
      <c r="J7" s="3"/>
      <c r="K7" s="4"/>
      <c r="L7" s="5"/>
      <c r="M7" s="3" t="s">
        <v>4</v>
      </c>
      <c r="N7" s="3"/>
      <c r="O7" s="3" t="s">
        <v>6</v>
      </c>
      <c r="P7" s="3" t="s">
        <v>6</v>
      </c>
      <c r="Q7" s="3" t="s">
        <v>4</v>
      </c>
      <c r="R7" s="3"/>
      <c r="S7" s="3"/>
      <c r="T7" s="79">
        <f>COUNTBLANK(T8:T45)+7</f>
        <v>45</v>
      </c>
      <c r="U7" s="76"/>
      <c r="V7" s="79"/>
      <c r="W7" s="60"/>
      <c r="X7" s="10" t="s">
        <v>4</v>
      </c>
      <c r="Y7" s="6"/>
      <c r="Z7" s="60"/>
      <c r="AA7" s="63" t="s">
        <v>6</v>
      </c>
      <c r="AB7" s="72" t="s">
        <v>6</v>
      </c>
      <c r="AC7" s="72" t="s">
        <v>4</v>
      </c>
      <c r="AD7" s="72" t="s">
        <v>5</v>
      </c>
      <c r="AE7" s="59" t="s">
        <v>6</v>
      </c>
      <c r="AF7" s="59" t="s">
        <v>4</v>
      </c>
      <c r="AG7" s="59" t="s">
        <v>5</v>
      </c>
      <c r="AH7" s="58" t="s">
        <v>6</v>
      </c>
      <c r="AI7" s="58" t="s">
        <v>4</v>
      </c>
      <c r="AJ7" s="58" t="s">
        <v>5</v>
      </c>
      <c r="AK7" s="72" t="s">
        <v>6</v>
      </c>
      <c r="AL7" s="72" t="s">
        <v>4</v>
      </c>
      <c r="AM7" s="72" t="s">
        <v>5</v>
      </c>
      <c r="AN7" s="15"/>
      <c r="AO7" s="15"/>
      <c r="AP7" s="15"/>
      <c r="AQ7" s="15" t="s">
        <v>3</v>
      </c>
      <c r="AR7" s="15" t="s">
        <v>9</v>
      </c>
      <c r="AS7" s="15" t="s">
        <v>6</v>
      </c>
      <c r="AT7" s="15" t="s">
        <v>11</v>
      </c>
      <c r="AU7" s="15"/>
      <c r="AV7" s="8" t="s">
        <v>6</v>
      </c>
      <c r="AW7" s="8" t="s">
        <v>4</v>
      </c>
      <c r="AX7" s="9" t="s">
        <v>6</v>
      </c>
      <c r="AY7" s="15"/>
      <c r="AZ7" s="15" t="s">
        <v>3</v>
      </c>
      <c r="BA7" s="15" t="s">
        <v>8</v>
      </c>
      <c r="BB7" s="15"/>
      <c r="BC7" s="15" t="s">
        <v>12</v>
      </c>
      <c r="BD7" s="15"/>
      <c r="BE7" s="8" t="s">
        <v>4</v>
      </c>
      <c r="BF7" s="8" t="s">
        <v>4</v>
      </c>
      <c r="BG7" s="9" t="s">
        <v>4</v>
      </c>
      <c r="BH7" s="15"/>
      <c r="BI7" s="15" t="s">
        <v>3</v>
      </c>
      <c r="BJ7" s="15" t="s">
        <v>10</v>
      </c>
      <c r="BK7" s="15" t="s">
        <v>6</v>
      </c>
      <c r="BL7" s="15" t="s">
        <v>13</v>
      </c>
      <c r="BM7" s="15"/>
      <c r="BN7" s="8" t="s">
        <v>5</v>
      </c>
      <c r="BO7" s="8" t="s">
        <v>4</v>
      </c>
      <c r="BP7" s="9" t="s">
        <v>5</v>
      </c>
      <c r="BQ7" s="15"/>
      <c r="BR7" s="15"/>
      <c r="BS7" s="15"/>
      <c r="BT7" s="15"/>
      <c r="BU7" s="15"/>
      <c r="BV7" s="15"/>
      <c r="BW7" s="30" t="s">
        <v>3</v>
      </c>
      <c r="BX7" s="30" t="s">
        <v>17</v>
      </c>
      <c r="BY7" s="30" t="s">
        <v>14</v>
      </c>
      <c r="BZ7" s="30" t="s">
        <v>15</v>
      </c>
      <c r="CA7" s="30" t="s">
        <v>7</v>
      </c>
      <c r="CB7" s="30" t="str">
        <f>X3</f>
        <v>X</v>
      </c>
      <c r="CC7" s="30" t="str">
        <f>X3</f>
        <v>X</v>
      </c>
      <c r="CD7" s="30" t="str">
        <f>AE3</f>
        <v>AE</v>
      </c>
      <c r="CE7" s="30" t="str">
        <f>AK3</f>
        <v>AK</v>
      </c>
      <c r="CF7" s="30">
        <f>ROW()+1</f>
        <v>8</v>
      </c>
      <c r="CG7" s="30">
        <f t="shared" ref="CG7:CG26" si="11">CF7+1</f>
        <v>9</v>
      </c>
      <c r="CH7" s="27" t="s">
        <v>6</v>
      </c>
      <c r="CI7" s="27" t="s">
        <v>4</v>
      </c>
      <c r="CJ7" s="27"/>
      <c r="CK7" s="27" t="s">
        <v>6</v>
      </c>
      <c r="CL7" s="15"/>
      <c r="CM7" s="30" t="s">
        <v>3</v>
      </c>
      <c r="CN7" s="30" t="s">
        <v>16</v>
      </c>
      <c r="CO7" s="31" t="s">
        <v>14</v>
      </c>
      <c r="CP7" s="32" t="s">
        <v>15</v>
      </c>
      <c r="CQ7" s="31" t="s">
        <v>7</v>
      </c>
      <c r="CR7" s="31" t="str">
        <f>X3</f>
        <v>X</v>
      </c>
      <c r="CS7" s="31" t="str">
        <f>X3</f>
        <v>X</v>
      </c>
      <c r="CT7" s="31" t="str">
        <f>AF3</f>
        <v>AF</v>
      </c>
      <c r="CU7" s="31" t="str">
        <f>AL3</f>
        <v>AL</v>
      </c>
      <c r="CV7" s="30">
        <f>ROW()+1</f>
        <v>8</v>
      </c>
      <c r="CW7" s="31">
        <f t="shared" ref="CW7:CW26" si="12">CV7+1</f>
        <v>9</v>
      </c>
      <c r="CX7" s="56" t="s">
        <v>4</v>
      </c>
      <c r="CY7" s="27" t="s">
        <v>4</v>
      </c>
      <c r="CZ7" s="56"/>
      <c r="DA7" s="27" t="s">
        <v>4</v>
      </c>
      <c r="DB7" s="15"/>
      <c r="DC7" s="31" t="s">
        <v>3</v>
      </c>
      <c r="DD7" s="31" t="s">
        <v>18</v>
      </c>
      <c r="DE7" s="31" t="s">
        <v>14</v>
      </c>
      <c r="DF7" s="31" t="s">
        <v>15</v>
      </c>
      <c r="DG7" s="31" t="s">
        <v>7</v>
      </c>
      <c r="DH7" s="31" t="str">
        <f>X3</f>
        <v>X</v>
      </c>
      <c r="DI7" s="31" t="str">
        <f>X3</f>
        <v>X</v>
      </c>
      <c r="DJ7" s="31" t="str">
        <f>AG3</f>
        <v>AG</v>
      </c>
      <c r="DK7" s="31" t="str">
        <f>AM3</f>
        <v>AM</v>
      </c>
      <c r="DL7" s="31">
        <f>ROW()+1</f>
        <v>8</v>
      </c>
      <c r="DM7" s="31">
        <f t="shared" ref="DM7:DM26" si="13">DL7+1</f>
        <v>9</v>
      </c>
      <c r="DN7" s="27" t="s">
        <v>5</v>
      </c>
      <c r="DO7" s="27" t="s">
        <v>4</v>
      </c>
      <c r="DP7" s="27"/>
      <c r="DQ7" s="57" t="s">
        <v>5</v>
      </c>
      <c r="DS7" s="87"/>
      <c r="DT7" s="88" t="s">
        <v>6</v>
      </c>
      <c r="DU7" s="88" t="s">
        <v>4</v>
      </c>
      <c r="DV7" s="88" t="s">
        <v>5</v>
      </c>
    </row>
    <row r="8" spans="2:129" x14ac:dyDescent="0.25">
      <c r="B8" s="25"/>
      <c r="C8" s="25"/>
      <c r="D8" s="25"/>
      <c r="E8" s="25"/>
      <c r="I8" s="43" t="str">
        <f t="shared" ref="I8:I45" si="14">IF(ROW()&lt;=$T$7+1,"i","n")</f>
        <v>i</v>
      </c>
      <c r="J8" s="43">
        <v>1</v>
      </c>
      <c r="K8" s="44">
        <f ca="1">IF(M8="",0,COUNTIF(INDIRECT($J$4&amp;":"&amp;$J$5),"&lt;"&amp;V8)+COUNTIF($V$8:V8,V8))</f>
        <v>27</v>
      </c>
      <c r="L8" s="45">
        <f>IF(M8="","",J8)</f>
        <v>1</v>
      </c>
      <c r="M8" s="41" t="s">
        <v>42</v>
      </c>
      <c r="N8" s="42" t="s">
        <v>2</v>
      </c>
      <c r="O8" s="42">
        <v>47</v>
      </c>
      <c r="P8" s="42">
        <v>17</v>
      </c>
      <c r="Q8" s="42">
        <v>12</v>
      </c>
      <c r="R8" s="45"/>
      <c r="S8" s="45" t="str">
        <f t="shared" ref="S8:S45" si="15">IF(COUNTBLANK(M8:Q8)&gt;0,"X","")</f>
        <v/>
      </c>
      <c r="T8" s="12" t="str">
        <f t="shared" ref="T8:T45" si="16">IF(S7="",IF(S8="X","F",""))</f>
        <v/>
      </c>
      <c r="V8" s="12" t="str">
        <f t="shared" ref="V8:V45" si="17">TRIM(M8)</f>
        <v>Newcastle</v>
      </c>
      <c r="W8" s="69">
        <f ca="1">IF(X8="","",ROW()-I$4+1)</f>
        <v>1</v>
      </c>
      <c r="X8" s="71" t="str">
        <f ca="1">IF($M8="","",VLOOKUP($J8,INDIRECT($K$4&amp;":"&amp;V$4),V$5,0))</f>
        <v>Arsenal</v>
      </c>
      <c r="Y8" s="71">
        <f t="shared" ref="Y8:Y45" ca="1" si="18">IF($M8="","",VLOOKUP($J8,INDIRECT($K$4&amp;":"&amp;T$4),T$5,0))</f>
        <v>16</v>
      </c>
      <c r="Z8" s="69" t="str">
        <f t="shared" ref="Z8:Z45" ca="1" si="19">IF($M8="","",TRIM(VLOOKUP($J8,INDIRECT($K$4&amp;":"&amp;N$4),N$5,0)))</f>
        <v>H</v>
      </c>
      <c r="AA8" s="69">
        <f t="shared" ref="AA8:AA45" ca="1" si="20">IF($M8="","",VLOOKUP($J8,INDIRECT($K$4&amp;":"&amp;O$4),O$5,0))</f>
        <v>39</v>
      </c>
      <c r="AB8" s="66">
        <f t="shared" ref="AB8:AB45" ca="1" si="21">IF($M8="","",VLOOKUP($J8,INDIRECT($K$4&amp;":"&amp;P$4),P$5,0))</f>
        <v>16</v>
      </c>
      <c r="AC8" s="66">
        <f t="shared" ref="AC8:AC45" ca="1" si="22">IF($M8="","",VLOOKUP($J8,INDIRECT($K$4&amp;":"&amp;Q$4),Q$5,0))</f>
        <v>11</v>
      </c>
      <c r="AD8" s="66">
        <f t="shared" ref="AD8:AD45" ca="1" si="23">IF($M8="","",AB8+AC8)</f>
        <v>27</v>
      </c>
      <c r="AE8" s="70">
        <f ca="1">IF(X8="","",IF(AB8&gt;0,AI8/AB8,0))</f>
        <v>3.4312499999999999</v>
      </c>
      <c r="AF8" s="70">
        <f t="shared" ref="AF8:AF45" ca="1" si="24">IF(X8="","",IF(AC8&gt;0,AH8/AC8,0))</f>
        <v>3.1909090909090909</v>
      </c>
      <c r="AG8" s="70">
        <f t="shared" ref="AG8:AG45" ca="1" si="25">IF(X8="","",IF(AC8&gt;0,90/(AB8+AC8),0))</f>
        <v>3.3333333333333335</v>
      </c>
      <c r="AH8" s="70">
        <f t="shared" ref="AH8:AH45" ca="1" si="26">IF(X8="","",90/100*AA8)</f>
        <v>35.1</v>
      </c>
      <c r="AI8" s="70">
        <f t="shared" ref="AI8:AI45" ca="1" si="27">IF(X8="","",IF(AH8=0,0,90/100*(100-AA8)))</f>
        <v>54.9</v>
      </c>
      <c r="AJ8" s="70">
        <f t="shared" ref="AJ8:AJ45" ca="1" si="28">IF(X8="","",IF(AI8=0,0,90))</f>
        <v>90</v>
      </c>
      <c r="AK8" s="67">
        <f ca="1">IF(X8="","",IF($X8=$X7,SUM(AI7:AI8)/SUM(AB7:AB8),0))</f>
        <v>0</v>
      </c>
      <c r="AL8" s="67">
        <f ca="1">IF(X8="","",IF($X8=$X7,SUM(AH7:AH8)/SUM(AC7:AC8),0))</f>
        <v>0</v>
      </c>
      <c r="AM8" s="67">
        <f ca="1">IF(X8="","",IF($X8=$X7,180/SUM(AB7:AC8),0))</f>
        <v>0</v>
      </c>
      <c r="AQ8" s="12">
        <v>1</v>
      </c>
      <c r="AR8" s="12">
        <f ca="1">IF($AE8="",0,COUNTIF(INDIRECT(AE$4&amp;":"&amp;AE$5),"&gt;"&amp;AE8)+COUNTIF(AE$8:AE8,AE8))</f>
        <v>25</v>
      </c>
      <c r="AS8" s="12" t="str">
        <f t="shared" ref="AS8:AS45" ca="1" si="29">IF(X8="","",X8)</f>
        <v>Arsenal</v>
      </c>
      <c r="AT8" s="12">
        <f t="shared" ref="AT8:AT45" ca="1" si="30">AE8</f>
        <v>3.4312499999999999</v>
      </c>
      <c r="AV8" s="22">
        <f ca="1">IF($AS8="","",VLOOKUP($AQ8,INDIRECT($AR$4&amp;":"&amp;AR$5),AR$6,0))</f>
        <v>1</v>
      </c>
      <c r="AW8" s="21" t="str">
        <f t="shared" ref="AW8:AW45" ca="1" si="31">IF($AS8="","",VLOOKUP($AQ8,INDIRECT($AR$4&amp;":"&amp;AS$5),AS$6,0))</f>
        <v>Fulham</v>
      </c>
      <c r="AX8" s="24">
        <f t="shared" ref="AX8:AX45" ca="1" si="32">IF($AS8="","",VLOOKUP($AQ8,INDIRECT($AR$4&amp;":"&amp;AT$5),AT$6,0))</f>
        <v>11.025</v>
      </c>
      <c r="AZ8" s="12">
        <v>1</v>
      </c>
      <c r="BA8" s="12">
        <f ca="1">IF($AE8="",0,COUNTIF(INDIRECT(AF$4&amp;":"&amp;AF$5),"&gt;"&amp;AF8)+COUNTIF(AF$8:AF8,AF8))</f>
        <v>28</v>
      </c>
      <c r="BB8" s="12" t="str">
        <f t="shared" ref="BB8:BB45" ca="1" si="33">X8</f>
        <v>Arsenal</v>
      </c>
      <c r="BC8" s="12">
        <f t="shared" ref="BC8:BC45" ca="1" si="34">AF8</f>
        <v>3.1909090909090909</v>
      </c>
      <c r="BE8" s="22">
        <f t="shared" ref="BE8:BE45" ca="1" si="35">IF($BB8="","",VLOOKUP($AZ8,INDIRECT($BA$4&amp;":"&amp;BA$5),BA$6,0))</f>
        <v>1</v>
      </c>
      <c r="BF8" s="21" t="str">
        <f t="shared" ref="BF8:BF45" ca="1" si="36">IF($BB8="","",VLOOKUP($AZ8,INDIRECT($BA$4&amp;":"&amp;BB$5),BB$6,0))</f>
        <v>Notts Forest</v>
      </c>
      <c r="BG8" s="24">
        <f t="shared" ref="BG8:BG45" ca="1" si="37">IF($BB8="","",VLOOKUP($AZ8,INDIRECT($BA$4&amp;":"&amp;BC$5),BC$6,0))</f>
        <v>11.100000000000001</v>
      </c>
      <c r="BI8" s="12">
        <v>1</v>
      </c>
      <c r="BJ8" s="12">
        <f ca="1">IF($AE8="",0,COUNTIF(INDIRECT(AG$4&amp;":"&amp;AG$5),"&gt;"&amp;AG8)+COUNTIF(AG$8:AG8,AG8))</f>
        <v>30</v>
      </c>
      <c r="BK8" s="12" t="str">
        <f t="shared" ref="BK8:BK45" ca="1" si="38">X8</f>
        <v>Arsenal</v>
      </c>
      <c r="BL8" s="12">
        <f t="shared" ref="BL8:BL45" ca="1" si="39">AG8</f>
        <v>3.3333333333333335</v>
      </c>
      <c r="BN8" s="22">
        <f t="shared" ref="BN8:BN45" ca="1" si="40">IF($BK8="","",VLOOKUP($BI8,INDIRECT($BJ$4&amp;":"&amp;BJ$5),BJ$6,0))</f>
        <v>1</v>
      </c>
      <c r="BO8" s="21" t="str">
        <f t="shared" ref="BO8:BO45" ca="1" si="41">IF($BK8="","",VLOOKUP($BI8,INDIRECT($BJ$4&amp;":"&amp;BK$5),BK$6,0))</f>
        <v>Notts Forest</v>
      </c>
      <c r="BP8" s="24">
        <f t="shared" ref="BP8:BP45" ca="1" si="42">IF($BK8="","",VLOOKUP($BI8,INDIRECT($BJ$4&amp;":"&amp;BL$5),BL$6,0))</f>
        <v>6</v>
      </c>
      <c r="BW8" s="14">
        <v>1</v>
      </c>
      <c r="BX8" s="14">
        <f ca="1">IF($CO8="","",COUNTIF(INDIRECT(CA$4&amp;":"&amp;CA$5),"&gt;"&amp;CA8)+COUNTIF(CA$8:CA8,CA8))</f>
        <v>6</v>
      </c>
      <c r="BY8" s="14" t="str">
        <f t="shared" ref="BY8:BY26" ca="1" si="43">IF(INDIRECT(CB8)="","",INDIRECT(CB8))</f>
        <v>Arsenal</v>
      </c>
      <c r="BZ8" s="14">
        <f t="shared" ref="BZ8:BZ26" ca="1" si="44">IF(BY8="","",CF8-CF7)</f>
        <v>2</v>
      </c>
      <c r="CA8" s="14">
        <f t="shared" ref="CA8:CA26" ca="1" si="45">IF(BY8="","",IF(INDIRECT(CB8)=INDIRECT(CC8),INDIRECT(CE8),INDIRECT(CD8)))</f>
        <v>4.3826086956521735</v>
      </c>
      <c r="CB8" s="14" t="str">
        <f t="shared" ref="CB8:CB26" si="46">CONCATENATE(CB$7,CF7)</f>
        <v>X8</v>
      </c>
      <c r="CC8" s="14" t="str">
        <f t="shared" ref="CC8:CC26" si="47">CONCATENATE(CC$7,CG7)</f>
        <v>X9</v>
      </c>
      <c r="CD8" s="14" t="str">
        <f t="shared" ref="CD8:CD26" si="48">CONCATENATE(CD$7,CF7)</f>
        <v>AE8</v>
      </c>
      <c r="CE8" s="14" t="str">
        <f t="shared" ref="CE8:CE26" si="49">CONCATENATE(CE$7,CG7)</f>
        <v>AK9</v>
      </c>
      <c r="CF8" s="14">
        <f t="shared" ref="CF8:CF26" ca="1" si="50">IF(INDIRECT(CB8)=INDIRECT(CC8),CF7+2,CF7+1)</f>
        <v>10</v>
      </c>
      <c r="CG8" s="14">
        <f t="shared" ca="1" si="11"/>
        <v>11</v>
      </c>
      <c r="CH8" s="20">
        <f t="shared" ref="CH8:CH26" ca="1" si="51">IF($BY8="","",VLOOKUP($BW8,INDIRECT($BX$4&amp;":"&amp;BX$5),BX$6,0))</f>
        <v>1</v>
      </c>
      <c r="CI8" s="19" t="str">
        <f t="shared" ref="CI8:CI26" ca="1" si="52">IF($BY8="","",VLOOKUP($BW8,INDIRECT($BX$4&amp;":"&amp;BY$5),BY$6,0))</f>
        <v>Fulham</v>
      </c>
      <c r="CJ8" s="20">
        <f t="shared" ref="CJ8:CJ26" ca="1" si="53">IF($BY8="","",VLOOKUP($BW8,INDIRECT($BX$4&amp;":"&amp;BZ$5),BZ$6,0))</f>
        <v>2</v>
      </c>
      <c r="CK8" s="26">
        <f t="shared" ref="CK8:CK26" ca="1" si="54">IF($BY8="","",VLOOKUP($BW8,INDIRECT($BX$4&amp;":"&amp;CA$5),CA$6,0))</f>
        <v>9.09</v>
      </c>
      <c r="CM8" s="14">
        <v>1</v>
      </c>
      <c r="CN8" s="14">
        <f ca="1">IF($CO8="","",COUNTIF(INDIRECT(CQ$4&amp;":"&amp;CQ$5),"&gt;"&amp;CQ8)+COUNTIF(CQ$8:CQ8,CQ8))</f>
        <v>13</v>
      </c>
      <c r="CO8" s="12" t="str">
        <f t="shared" ref="CO8:CO26" ca="1" si="55">IF(INDIRECT(CR8)="","",INDIRECT(CR8))</f>
        <v>Arsenal</v>
      </c>
      <c r="CP8" s="12">
        <f t="shared" ref="CP8:CP26" ca="1" si="56">IF(CO8="","",CV8-CV7)</f>
        <v>2</v>
      </c>
      <c r="CQ8" s="12">
        <f t="shared" ref="CQ8:CQ26" ca="1" si="57">IF(CO8="","",IF(INDIRECT(CR8)=INDIRECT(CS8),INDIRECT(CU8),INDIRECT(CT8)))</f>
        <v>3.4434782608695653</v>
      </c>
      <c r="CR8" s="12" t="str">
        <f t="shared" ref="CR8:CR26" si="58">CONCATENATE(CR$7,CV7)</f>
        <v>X8</v>
      </c>
      <c r="CS8" s="12" t="str">
        <f t="shared" ref="CS8:CS26" si="59">CONCATENATE(CS$7,CW7)</f>
        <v>X9</v>
      </c>
      <c r="CT8" s="12" t="str">
        <f t="shared" ref="CT8:CT26" si="60">CONCATENATE(CT$7,CV7)</f>
        <v>AF8</v>
      </c>
      <c r="CU8" s="12" t="str">
        <f t="shared" ref="CU8:CU26" si="61">CONCATENATE(CU$7,CW7)</f>
        <v>AL9</v>
      </c>
      <c r="CV8" s="14">
        <f t="shared" ref="CV8:CV26" ca="1" si="62">IF(INDIRECT(CR8)=INDIRECT(CS8),CV7+2,CV7+1)</f>
        <v>10</v>
      </c>
      <c r="CW8" s="12">
        <f t="shared" ca="1" si="12"/>
        <v>11</v>
      </c>
      <c r="CX8" s="20">
        <f ca="1">IF($BY8="","",VLOOKUP($CM8,INDIRECT($CN$4&amp;":"&amp;CN$5),CN$6,0))</f>
        <v>1</v>
      </c>
      <c r="CY8" s="19" t="str">
        <f t="shared" ref="CY8:CY26" ca="1" si="63">IF($CO8="","",VLOOKUP($CM8,INDIRECT($CN$4&amp;":"&amp;CO$5),CO$6,0))</f>
        <v>Luton</v>
      </c>
      <c r="CZ8" s="20">
        <f t="shared" ref="CZ8:CZ26" ca="1" si="64">IF($CO8="","",VLOOKUP($CM8,INDIRECT($CN$4&amp;":"&amp;CP$5),CP$6,0))</f>
        <v>2</v>
      </c>
      <c r="DA8" s="26">
        <f t="shared" ref="DA8:DA26" ca="1" si="65">IF($CO8="","",VLOOKUP($CM8,INDIRECT($CN$4&amp;":"&amp;CQ$5),CQ$6,0))</f>
        <v>6.25</v>
      </c>
      <c r="DC8" s="12">
        <v>1</v>
      </c>
      <c r="DD8" s="12">
        <f ca="1">IF($CO8="","",COUNTIF(INDIRECT(DG$4&amp;":"&amp;DG$5),"&gt;"&amp;DG8)+COUNTIF(DG$8:DG8,DG8))</f>
        <v>8</v>
      </c>
      <c r="DE8" s="12" t="str">
        <f t="shared" ref="DE8:DE26" ca="1" si="66">IF(INDIRECT(DH8)="","",INDIRECT(DH8))</f>
        <v>Arsenal</v>
      </c>
      <c r="DF8" s="12">
        <f t="shared" ref="DF8:DF26" ca="1" si="67">IF(DE8="","",DL8-DL7)</f>
        <v>2</v>
      </c>
      <c r="DG8" s="12">
        <f t="shared" ref="DG8:DG26" ca="1" si="68">IF(DE8="","",IF(INDIRECT(DH8)=INDIRECT(DI8),INDIRECT(DK8),INDIRECT(DJ8)))</f>
        <v>3.9130434782608696</v>
      </c>
      <c r="DH8" s="12" t="str">
        <f t="shared" ref="DH8:DH26" si="69">CONCATENATE(DH$7,DL7)</f>
        <v>X8</v>
      </c>
      <c r="DI8" s="12" t="str">
        <f t="shared" ref="DI8:DI26" si="70">CONCATENATE(DI$7,DM7)</f>
        <v>X9</v>
      </c>
      <c r="DJ8" s="12" t="str">
        <f t="shared" ref="DJ8:DJ26" si="71">CONCATENATE(DJ$7,DL7)</f>
        <v>AG8</v>
      </c>
      <c r="DK8" s="12" t="str">
        <f t="shared" ref="DK8:DK26" si="72">CONCATENATE(DK$7,DM7)</f>
        <v>AM9</v>
      </c>
      <c r="DL8" s="12">
        <f t="shared" ref="DL8:DL26" ca="1" si="73">IF(INDIRECT(DH8)=INDIRECT(DI8),DL7+2,DL7+1)</f>
        <v>10</v>
      </c>
      <c r="DM8" s="12">
        <f t="shared" ca="1" si="13"/>
        <v>11</v>
      </c>
      <c r="DN8" s="20">
        <f t="shared" ref="DN8:DN26" ca="1" si="74">IF($DE8="","",VLOOKUP($DC8,INDIRECT($DD$4&amp;":"&amp;DD$5),DD$6,0))</f>
        <v>1</v>
      </c>
      <c r="DO8" s="19" t="str">
        <f t="shared" ref="DO8:DO26" ca="1" si="75">IF($DE8="","",VLOOKUP($DC8,INDIRECT($DD$4&amp;":"&amp;DE$5),DE$6,0))</f>
        <v>Man Utd</v>
      </c>
      <c r="DP8" s="20">
        <f t="shared" ref="DP8:DP26" ca="1" si="76">IF($DE8="","",VLOOKUP($DC8,INDIRECT($DD$4&amp;":"&amp;DF$5),DF$6,0))</f>
        <v>2</v>
      </c>
      <c r="DQ8" s="46">
        <f t="shared" ref="DQ8:DQ26" ca="1" si="77">IF($DE8="","",VLOOKUP($DC8,INDIRECT($DD$4&amp;":"&amp;DG$5),DG$6,0))</f>
        <v>5</v>
      </c>
      <c r="DS8" s="101" t="s">
        <v>7</v>
      </c>
      <c r="DT8" s="89">
        <f ca="1">IF(SUM(AB8:AB45)=0,"",SUM(AI8:AI45)/SUM(AB8:AB45))</f>
        <v>3.8781021897810217</v>
      </c>
      <c r="DU8" s="89">
        <f ca="1">IF(SUM(AC8:AC45)=0,"",SUM(AH8:AH45)/SUM(AC8:AC45))</f>
        <v>3.7885892116182576</v>
      </c>
      <c r="DV8" s="89">
        <f ca="1">IF(SUM(AD8:AD45)=0,"",SUM(AJ8:AJ45)/SUM(AD8:AD45))</f>
        <v>3.8297872340425534</v>
      </c>
      <c r="DW8" s="86"/>
      <c r="DX8" s="86"/>
      <c r="DY8" s="86"/>
    </row>
    <row r="9" spans="2:129" x14ac:dyDescent="0.25">
      <c r="B9" s="25"/>
      <c r="C9" s="25" t="s">
        <v>38</v>
      </c>
      <c r="D9" s="25"/>
      <c r="E9" s="25"/>
      <c r="I9" s="43" t="str">
        <f t="shared" si="14"/>
        <v>i</v>
      </c>
      <c r="J9" s="43">
        <f t="shared" ref="J9:J45" si="78">J8+1</f>
        <v>2</v>
      </c>
      <c r="K9" s="44">
        <f ca="1">IF(M9="",0,COUNTIF(INDIRECT($J$4&amp;":"&amp;$J$5),"&lt;"&amp;V9)+COUNTIF($V$8:V9,V9))</f>
        <v>15</v>
      </c>
      <c r="L9" s="45">
        <f t="shared" ref="L9:L29" si="79">IF(AND(S9="",T9=""),J9,"")</f>
        <v>2</v>
      </c>
      <c r="M9" s="41" t="s">
        <v>49</v>
      </c>
      <c r="N9" s="42" t="s">
        <v>40</v>
      </c>
      <c r="O9" s="42">
        <v>60</v>
      </c>
      <c r="P9" s="42">
        <v>8</v>
      </c>
      <c r="Q9" s="42">
        <v>12</v>
      </c>
      <c r="R9" s="45"/>
      <c r="S9" s="45" t="str">
        <f t="shared" si="15"/>
        <v/>
      </c>
      <c r="T9" s="12" t="str">
        <f t="shared" si="16"/>
        <v/>
      </c>
      <c r="V9" s="12" t="str">
        <f t="shared" si="17"/>
        <v>Everton</v>
      </c>
      <c r="W9" s="69">
        <f ca="1">IF(X9="","",ROW()-I$4+1)</f>
        <v>2</v>
      </c>
      <c r="X9" s="71" t="str">
        <f t="shared" ref="X9:X45" ca="1" si="80">IF($M9="","",VLOOKUP($J9,INDIRECT($K$4&amp;":"&amp;V$4),V$5,0))</f>
        <v>Arsenal</v>
      </c>
      <c r="Y9" s="71">
        <f t="shared" ca="1" si="18"/>
        <v>33</v>
      </c>
      <c r="Z9" s="69" t="str">
        <f t="shared" ca="1" si="19"/>
        <v>H</v>
      </c>
      <c r="AA9" s="69">
        <f t="shared" ca="1" si="20"/>
        <v>49</v>
      </c>
      <c r="AB9" s="66">
        <f t="shared" ca="1" si="21"/>
        <v>7</v>
      </c>
      <c r="AC9" s="66">
        <f t="shared" ca="1" si="22"/>
        <v>12</v>
      </c>
      <c r="AD9" s="66">
        <f t="shared" ca="1" si="23"/>
        <v>19</v>
      </c>
      <c r="AE9" s="70">
        <f t="shared" ref="AE9:AE45" ca="1" si="81">IF(X9="","",IF(AB9&gt;0,AI9/AB9,0))</f>
        <v>6.5571428571428569</v>
      </c>
      <c r="AF9" s="70">
        <f t="shared" ca="1" si="24"/>
        <v>3.6750000000000003</v>
      </c>
      <c r="AG9" s="70">
        <f t="shared" ca="1" si="25"/>
        <v>4.7368421052631575</v>
      </c>
      <c r="AH9" s="70">
        <f t="shared" ca="1" si="26"/>
        <v>44.1</v>
      </c>
      <c r="AI9" s="70">
        <f t="shared" ca="1" si="27"/>
        <v>45.9</v>
      </c>
      <c r="AJ9" s="70">
        <f t="shared" ca="1" si="28"/>
        <v>90</v>
      </c>
      <c r="AK9" s="67">
        <f ca="1">IF(X9="","",IF(SUM(AB8:AB9)=0,0,IF($X9=$X8,SUM(AI8:AI9)/SUM(AB8:AB9),0)))</f>
        <v>4.3826086956521735</v>
      </c>
      <c r="AL9" s="67">
        <f ca="1">IF(X9="","",IF(SUM(AC8:AC9)=0,0,IF($X9=$X8,SUM(AH8:AH9)/SUM(AC8:AC9),0)))</f>
        <v>3.4434782608695653</v>
      </c>
      <c r="AM9" s="67">
        <f ca="1">IF(X9="","",IF(SUM(AB8:AC9)=0,0,IF($X9=$X8,SUM(AJ8:AJ9)/SUM(AB8:AC9),0)))</f>
        <v>3.9130434782608696</v>
      </c>
      <c r="AQ9" s="12">
        <f>AQ8+1</f>
        <v>2</v>
      </c>
      <c r="AR9" s="12">
        <f ca="1">IF($AE9="",0,COUNTIF(INDIRECT(AE$4&amp;":"&amp;AE$5),"&gt;"&amp;AE9)+COUNTIF(AE$8:AE9,AE9))</f>
        <v>4</v>
      </c>
      <c r="AS9" s="12" t="str">
        <f t="shared" ca="1" si="29"/>
        <v>Arsenal</v>
      </c>
      <c r="AT9" s="12">
        <f t="shared" ca="1" si="30"/>
        <v>6.5571428571428569</v>
      </c>
      <c r="AV9" s="22">
        <f t="shared" ref="AV9:AV45" ca="1" si="82">IF($AS9="","",VLOOKUP($AQ9,INDIRECT($AR$4&amp;":"&amp;AR$5),AR$6,0))</f>
        <v>2</v>
      </c>
      <c r="AW9" s="21" t="str">
        <f t="shared" ca="1" si="31"/>
        <v>Liverpool</v>
      </c>
      <c r="AX9" s="24">
        <f t="shared" ca="1" si="32"/>
        <v>8.2285714285714295</v>
      </c>
      <c r="AZ9" s="12">
        <f>AZ8+1</f>
        <v>2</v>
      </c>
      <c r="BA9" s="12">
        <f ca="1">IF($AE9="",0,COUNTIF(INDIRECT(AF$4&amp;":"&amp;AF$5),"&gt;"&amp;AF9)+COUNTIF(AF$8:AF9,AF9))</f>
        <v>20</v>
      </c>
      <c r="BB9" s="12" t="str">
        <f t="shared" ca="1" si="33"/>
        <v>Arsenal</v>
      </c>
      <c r="BC9" s="12">
        <f t="shared" ca="1" si="34"/>
        <v>3.6750000000000003</v>
      </c>
      <c r="BE9" s="22">
        <f t="shared" ca="1" si="35"/>
        <v>2</v>
      </c>
      <c r="BF9" s="21" t="str">
        <f t="shared" ca="1" si="36"/>
        <v>Man Utd</v>
      </c>
      <c r="BG9" s="24">
        <f t="shared" ca="1" si="37"/>
        <v>7.2</v>
      </c>
      <c r="BI9" s="12">
        <f>BI8+1</f>
        <v>2</v>
      </c>
      <c r="BJ9" s="12">
        <f ca="1">IF($AE9="",0,COUNTIF(INDIRECT(AG$4&amp;":"&amp;AG$5),"&gt;"&amp;AG9)+COUNTIF(AG$8:AG9,AG9))</f>
        <v>6</v>
      </c>
      <c r="BK9" s="12" t="str">
        <f t="shared" ca="1" si="38"/>
        <v>Arsenal</v>
      </c>
      <c r="BL9" s="12">
        <f t="shared" ca="1" si="39"/>
        <v>4.7368421052631575</v>
      </c>
      <c r="BN9" s="22">
        <f t="shared" ca="1" si="40"/>
        <v>2</v>
      </c>
      <c r="BO9" s="21" t="str">
        <f t="shared" ca="1" si="41"/>
        <v>Man Utd</v>
      </c>
      <c r="BP9" s="24">
        <f t="shared" ca="1" si="42"/>
        <v>5.625</v>
      </c>
      <c r="BW9" s="14">
        <v>2</v>
      </c>
      <c r="BX9" s="14">
        <f ca="1">IF($CO9="","",COUNTIF(INDIRECT(CA$4&amp;":"&amp;CA$5),"&gt;"&amp;CA9)+COUNTIF(CA$8:CA9,CA9))</f>
        <v>10</v>
      </c>
      <c r="BY9" s="14" t="str">
        <f t="shared" ca="1" si="43"/>
        <v>Bournemouth</v>
      </c>
      <c r="BZ9" s="14">
        <f t="shared" ca="1" si="44"/>
        <v>2</v>
      </c>
      <c r="CA9" s="14">
        <f t="shared" ca="1" si="45"/>
        <v>3.8368421052631581</v>
      </c>
      <c r="CB9" s="14" t="str">
        <f t="shared" ca="1" si="46"/>
        <v>X10</v>
      </c>
      <c r="CC9" s="14" t="str">
        <f t="shared" ca="1" si="47"/>
        <v>X11</v>
      </c>
      <c r="CD9" s="14" t="str">
        <f t="shared" ca="1" si="48"/>
        <v>AE10</v>
      </c>
      <c r="CE9" s="14" t="str">
        <f t="shared" ca="1" si="49"/>
        <v>AK11</v>
      </c>
      <c r="CF9" s="14">
        <f t="shared" ca="1" si="50"/>
        <v>12</v>
      </c>
      <c r="CG9" s="14">
        <f t="shared" ca="1" si="11"/>
        <v>13</v>
      </c>
      <c r="CH9" s="20">
        <f t="shared" ca="1" si="51"/>
        <v>2</v>
      </c>
      <c r="CI9" s="19" t="str">
        <f t="shared" ca="1" si="52"/>
        <v>Liverpool</v>
      </c>
      <c r="CJ9" s="20">
        <f t="shared" ca="1" si="53"/>
        <v>2</v>
      </c>
      <c r="CK9" s="26">
        <f t="shared" ca="1" si="54"/>
        <v>6.15</v>
      </c>
      <c r="CM9" s="14">
        <v>2</v>
      </c>
      <c r="CN9" s="14">
        <f ca="1">IF($CO9="","",COUNTIF(INDIRECT(CQ$4&amp;":"&amp;CQ$5),"&gt;"&amp;CQ9)+COUNTIF(CQ$8:CQ9,CQ9))</f>
        <v>12</v>
      </c>
      <c r="CO9" s="12" t="str">
        <f t="shared" ca="1" si="55"/>
        <v>Bournemouth</v>
      </c>
      <c r="CP9" s="12">
        <f t="shared" ca="1" si="56"/>
        <v>2</v>
      </c>
      <c r="CQ9" s="12">
        <f t="shared" ca="1" si="57"/>
        <v>3.693103448275862</v>
      </c>
      <c r="CR9" s="12" t="str">
        <f t="shared" ca="1" si="58"/>
        <v>X10</v>
      </c>
      <c r="CS9" s="12" t="str">
        <f t="shared" ca="1" si="59"/>
        <v>X11</v>
      </c>
      <c r="CT9" s="12" t="str">
        <f t="shared" ca="1" si="60"/>
        <v>AF10</v>
      </c>
      <c r="CU9" s="12" t="str">
        <f t="shared" ca="1" si="61"/>
        <v>AL11</v>
      </c>
      <c r="CV9" s="14">
        <f t="shared" ca="1" si="62"/>
        <v>12</v>
      </c>
      <c r="CW9" s="12">
        <f t="shared" ca="1" si="12"/>
        <v>13</v>
      </c>
      <c r="CX9" s="20">
        <f t="shared" ref="CX9:CX26" ca="1" si="83">IF($CO9="","",VLOOKUP($CM9,INDIRECT($CN$4&amp;":"&amp;CN$5),CN$6,0))</f>
        <v>2</v>
      </c>
      <c r="CY9" s="19" t="str">
        <f t="shared" ca="1" si="63"/>
        <v>Man Utd</v>
      </c>
      <c r="CZ9" s="20">
        <f t="shared" ca="1" si="64"/>
        <v>2</v>
      </c>
      <c r="DA9" s="26">
        <f t="shared" ca="1" si="65"/>
        <v>5.8235294117647056</v>
      </c>
      <c r="DC9" s="12">
        <v>2</v>
      </c>
      <c r="DD9" s="12">
        <f ca="1">IF($CO9="","",COUNTIF(INDIRECT(DG$4&amp;":"&amp;DG$5),"&gt;"&amp;DG9)+COUNTIF(DG$8:DG9,DG9))</f>
        <v>12</v>
      </c>
      <c r="DE9" s="12" t="str">
        <f t="shared" ca="1" si="66"/>
        <v>Bournemouth</v>
      </c>
      <c r="DF9" s="12">
        <f t="shared" ca="1" si="67"/>
        <v>2</v>
      </c>
      <c r="DG9" s="12">
        <f t="shared" ca="1" si="68"/>
        <v>3.75</v>
      </c>
      <c r="DH9" s="12" t="str">
        <f t="shared" ca="1" si="69"/>
        <v>X10</v>
      </c>
      <c r="DI9" s="12" t="str">
        <f t="shared" ca="1" si="70"/>
        <v>X11</v>
      </c>
      <c r="DJ9" s="12" t="str">
        <f t="shared" ca="1" si="71"/>
        <v>AG10</v>
      </c>
      <c r="DK9" s="12" t="str">
        <f t="shared" ca="1" si="72"/>
        <v>AM11</v>
      </c>
      <c r="DL9" s="12">
        <f t="shared" ca="1" si="73"/>
        <v>12</v>
      </c>
      <c r="DM9" s="12">
        <f t="shared" ca="1" si="13"/>
        <v>13</v>
      </c>
      <c r="DN9" s="20">
        <f t="shared" ca="1" si="74"/>
        <v>2</v>
      </c>
      <c r="DO9" s="19" t="str">
        <f t="shared" ca="1" si="75"/>
        <v>Fulham</v>
      </c>
      <c r="DP9" s="20">
        <f t="shared" ca="1" si="76"/>
        <v>2</v>
      </c>
      <c r="DQ9" s="46">
        <f t="shared" ca="1" si="77"/>
        <v>4.7368421052631575</v>
      </c>
      <c r="DS9" s="101" t="s">
        <v>75</v>
      </c>
      <c r="DT9" s="89">
        <f ca="1">IF(AA8="","",AVERAGE((AA8:AA45)))</f>
        <v>53.39473684210526</v>
      </c>
      <c r="DU9" s="90">
        <f ca="1">IF(AA8="","",DV9-DT9)</f>
        <v>46.60526315789474</v>
      </c>
      <c r="DV9" s="91">
        <v>100</v>
      </c>
      <c r="DW9" s="86"/>
      <c r="DX9" s="86"/>
      <c r="DY9" s="86"/>
    </row>
    <row r="10" spans="2:129" x14ac:dyDescent="0.25">
      <c r="B10" s="25"/>
      <c r="C10" s="54" t="s">
        <v>80</v>
      </c>
      <c r="D10" s="25"/>
      <c r="E10" s="25"/>
      <c r="I10" s="43" t="str">
        <f t="shared" si="14"/>
        <v>i</v>
      </c>
      <c r="J10" s="43">
        <f t="shared" si="78"/>
        <v>3</v>
      </c>
      <c r="K10" s="44">
        <f ca="1">IF(M10="",0,COUNTIF(INDIRECT($J$4&amp;":"&amp;$J$5),"&lt;"&amp;V10)+COUNTIF($V$8:V10,V10))</f>
        <v>9</v>
      </c>
      <c r="L10" s="45">
        <f t="shared" si="79"/>
        <v>3</v>
      </c>
      <c r="M10" s="41" t="s">
        <v>60</v>
      </c>
      <c r="N10" s="42" t="s">
        <v>2</v>
      </c>
      <c r="O10" s="42">
        <v>43</v>
      </c>
      <c r="P10" s="42">
        <v>11</v>
      </c>
      <c r="Q10" s="42">
        <v>12</v>
      </c>
      <c r="R10" s="45"/>
      <c r="S10" s="45" t="str">
        <f t="shared" si="15"/>
        <v/>
      </c>
      <c r="T10" s="12" t="str">
        <f t="shared" si="16"/>
        <v/>
      </c>
      <c r="V10" s="12" t="str">
        <f t="shared" si="17"/>
        <v>Burnley</v>
      </c>
      <c r="W10" s="69">
        <f t="shared" ref="W10:W45" ca="1" si="84">IF(X10="","",W9+1)</f>
        <v>3</v>
      </c>
      <c r="X10" s="71" t="str">
        <f t="shared" ca="1" si="80"/>
        <v>Bournemouth</v>
      </c>
      <c r="Y10" s="71">
        <f t="shared" ca="1" si="18"/>
        <v>14</v>
      </c>
      <c r="Z10" s="69" t="str">
        <f t="shared" ca="1" si="19"/>
        <v>A</v>
      </c>
      <c r="AA10" s="69">
        <f t="shared" ca="1" si="20"/>
        <v>63</v>
      </c>
      <c r="AB10" s="66">
        <f t="shared" ca="1" si="21"/>
        <v>11</v>
      </c>
      <c r="AC10" s="66">
        <f t="shared" ca="1" si="22"/>
        <v>15</v>
      </c>
      <c r="AD10" s="66">
        <f t="shared" ca="1" si="23"/>
        <v>26</v>
      </c>
      <c r="AE10" s="70">
        <f t="shared" ca="1" si="81"/>
        <v>3.0272727272727278</v>
      </c>
      <c r="AF10" s="70">
        <f t="shared" ca="1" si="24"/>
        <v>3.7800000000000002</v>
      </c>
      <c r="AG10" s="70">
        <f t="shared" ca="1" si="25"/>
        <v>3.4615384615384617</v>
      </c>
      <c r="AH10" s="70">
        <f t="shared" ca="1" si="26"/>
        <v>56.7</v>
      </c>
      <c r="AI10" s="70">
        <f t="shared" ca="1" si="27"/>
        <v>33.300000000000004</v>
      </c>
      <c r="AJ10" s="70">
        <f t="shared" ca="1" si="28"/>
        <v>90</v>
      </c>
      <c r="AK10" s="67">
        <f ca="1">IF(X10="","",IF($X10=$X9,SUM(AI9:AI10)/SUM(AB9:AB10),0))</f>
        <v>0</v>
      </c>
      <c r="AL10" s="67">
        <f ca="1">IF(X10="","",IF($X10=$X9,SUM(AH9:AH10)/SUM(AC9:AC10),0))</f>
        <v>0</v>
      </c>
      <c r="AM10" s="67">
        <f ca="1">IF(X10="","",IF($X10=$X9,180/SUM(AB9:AC10),0))</f>
        <v>0</v>
      </c>
      <c r="AQ10" s="12">
        <f t="shared" ref="AQ10:AQ17" si="85">AQ9+1</f>
        <v>3</v>
      </c>
      <c r="AR10" s="12">
        <f ca="1">IF($AE10="",0,COUNTIF(INDIRECT(AE$4&amp;":"&amp;AE$5),"&gt;"&amp;AE10)+COUNTIF(AE$8:AE10,AE10))</f>
        <v>27</v>
      </c>
      <c r="AS10" s="12" t="str">
        <f t="shared" ca="1" si="29"/>
        <v>Bournemouth</v>
      </c>
      <c r="AT10" s="12">
        <f t="shared" ca="1" si="30"/>
        <v>3.0272727272727278</v>
      </c>
      <c r="AV10" s="22">
        <f t="shared" ca="1" si="82"/>
        <v>3</v>
      </c>
      <c r="AW10" s="21" t="str">
        <f t="shared" ca="1" si="31"/>
        <v>Fulham</v>
      </c>
      <c r="AX10" s="24">
        <f t="shared" ca="1" si="32"/>
        <v>7.8000000000000007</v>
      </c>
      <c r="AZ10" s="12">
        <f>AZ9+1</f>
        <v>3</v>
      </c>
      <c r="BA10" s="12">
        <f ca="1">IF($AE10="",0,COUNTIF(INDIRECT(AF$4&amp;":"&amp;AF$5),"&gt;"&amp;AF10)+COUNTIF(AF$8:AF10,AF10))</f>
        <v>19</v>
      </c>
      <c r="BB10" s="12" t="str">
        <f t="shared" ca="1" si="33"/>
        <v>Bournemouth</v>
      </c>
      <c r="BC10" s="12">
        <f t="shared" ca="1" si="34"/>
        <v>3.7800000000000002</v>
      </c>
      <c r="BE10" s="22">
        <f t="shared" ca="1" si="35"/>
        <v>3</v>
      </c>
      <c r="BF10" s="21" t="str">
        <f t="shared" ca="1" si="36"/>
        <v>Crystal Palace</v>
      </c>
      <c r="BG10" s="24">
        <f t="shared" ca="1" si="37"/>
        <v>6.7</v>
      </c>
      <c r="BI10" s="12">
        <f t="shared" ref="BI10:BI17" si="86">BI9+1</f>
        <v>3</v>
      </c>
      <c r="BJ10" s="12">
        <f ca="1">IF($AE10="",0,COUNTIF(INDIRECT(AG$4&amp;":"&amp;AG$5),"&gt;"&amp;AG10)+COUNTIF(AG$8:AG10,AG10))</f>
        <v>24</v>
      </c>
      <c r="BK10" s="12" t="str">
        <f t="shared" ca="1" si="38"/>
        <v>Bournemouth</v>
      </c>
      <c r="BL10" s="12">
        <f t="shared" ca="1" si="39"/>
        <v>3.4615384615384617</v>
      </c>
      <c r="BN10" s="22">
        <f t="shared" ca="1" si="40"/>
        <v>3</v>
      </c>
      <c r="BO10" s="21" t="str">
        <f t="shared" ca="1" si="41"/>
        <v>Fulham</v>
      </c>
      <c r="BP10" s="24">
        <f t="shared" ca="1" si="42"/>
        <v>5.2941176470588234</v>
      </c>
      <c r="BW10" s="14">
        <v>3</v>
      </c>
      <c r="BX10" s="14">
        <f ca="1">IF($CO10="","",COUNTIF(INDIRECT(CA$4&amp;":"&amp;CA$5),"&gt;"&amp;CA10)+COUNTIF(CA$8:CA10,CA10))</f>
        <v>17</v>
      </c>
      <c r="BY10" s="14" t="str">
        <f t="shared" ca="1" si="43"/>
        <v>Brentford</v>
      </c>
      <c r="BZ10" s="14">
        <f t="shared" ca="1" si="44"/>
        <v>2</v>
      </c>
      <c r="CA10" s="14">
        <f t="shared" ca="1" si="45"/>
        <v>2.7</v>
      </c>
      <c r="CB10" s="14" t="str">
        <f t="shared" ca="1" si="46"/>
        <v>X12</v>
      </c>
      <c r="CC10" s="14" t="str">
        <f t="shared" ca="1" si="47"/>
        <v>X13</v>
      </c>
      <c r="CD10" s="14" t="str">
        <f t="shared" ca="1" si="48"/>
        <v>AE12</v>
      </c>
      <c r="CE10" s="14" t="str">
        <f t="shared" ca="1" si="49"/>
        <v>AK13</v>
      </c>
      <c r="CF10" s="14">
        <f t="shared" ca="1" si="50"/>
        <v>14</v>
      </c>
      <c r="CG10" s="14">
        <f t="shared" ca="1" si="11"/>
        <v>15</v>
      </c>
      <c r="CH10" s="20">
        <f t="shared" ca="1" si="51"/>
        <v>3</v>
      </c>
      <c r="CI10" s="19" t="str">
        <f t="shared" ca="1" si="52"/>
        <v>Tottenham</v>
      </c>
      <c r="CJ10" s="20">
        <f t="shared" ca="1" si="53"/>
        <v>2</v>
      </c>
      <c r="CK10" s="26">
        <f t="shared" ca="1" si="54"/>
        <v>4.9125000000000005</v>
      </c>
      <c r="CM10" s="14">
        <v>3</v>
      </c>
      <c r="CN10" s="14">
        <f ca="1">IF($CO10="","",COUNTIF(INDIRECT(CQ$4&amp;":"&amp;CQ$5),"&gt;"&amp;CQ10)+COUNTIF(CQ$8:CQ10,CQ10))</f>
        <v>7</v>
      </c>
      <c r="CO10" s="12" t="str">
        <f t="shared" ca="1" si="55"/>
        <v>Brentford</v>
      </c>
      <c r="CP10" s="12">
        <f t="shared" ca="1" si="56"/>
        <v>2</v>
      </c>
      <c r="CQ10" s="12">
        <f t="shared" ca="1" si="57"/>
        <v>4.1100000000000003</v>
      </c>
      <c r="CR10" s="12" t="str">
        <f t="shared" ca="1" si="58"/>
        <v>X12</v>
      </c>
      <c r="CS10" s="12" t="str">
        <f t="shared" ca="1" si="59"/>
        <v>X13</v>
      </c>
      <c r="CT10" s="12" t="str">
        <f t="shared" ca="1" si="60"/>
        <v>AF12</v>
      </c>
      <c r="CU10" s="12" t="str">
        <f t="shared" ca="1" si="61"/>
        <v>AL13</v>
      </c>
      <c r="CV10" s="14">
        <f t="shared" ca="1" si="62"/>
        <v>14</v>
      </c>
      <c r="CW10" s="12">
        <f t="shared" ca="1" si="12"/>
        <v>15</v>
      </c>
      <c r="CX10" s="20">
        <f t="shared" ca="1" si="83"/>
        <v>3</v>
      </c>
      <c r="CY10" s="19" t="str">
        <f t="shared" ca="1" si="63"/>
        <v>Notts Forest</v>
      </c>
      <c r="CZ10" s="20">
        <f t="shared" ca="1" si="64"/>
        <v>2</v>
      </c>
      <c r="DA10" s="26">
        <f t="shared" ca="1" si="65"/>
        <v>5.4</v>
      </c>
      <c r="DC10" s="12">
        <v>3</v>
      </c>
      <c r="DD10" s="12">
        <f ca="1">IF($CO10="","",COUNTIF(INDIRECT(DG$4&amp;":"&amp;DG$5),"&gt;"&amp;DG10)+COUNTIF(DG$8:DG10,DG10))</f>
        <v>16</v>
      </c>
      <c r="DE10" s="12" t="str">
        <f t="shared" ca="1" si="66"/>
        <v>Brentford</v>
      </c>
      <c r="DF10" s="12">
        <f t="shared" ca="1" si="67"/>
        <v>2</v>
      </c>
      <c r="DG10" s="12">
        <f t="shared" ca="1" si="68"/>
        <v>3.5294117647058822</v>
      </c>
      <c r="DH10" s="12" t="str">
        <f t="shared" ca="1" si="69"/>
        <v>X12</v>
      </c>
      <c r="DI10" s="12" t="str">
        <f t="shared" ca="1" si="70"/>
        <v>X13</v>
      </c>
      <c r="DJ10" s="12" t="str">
        <f t="shared" ca="1" si="71"/>
        <v>AG12</v>
      </c>
      <c r="DK10" s="12" t="str">
        <f t="shared" ca="1" si="72"/>
        <v>AM13</v>
      </c>
      <c r="DL10" s="12">
        <f t="shared" ca="1" si="73"/>
        <v>14</v>
      </c>
      <c r="DM10" s="12">
        <f t="shared" ca="1" si="13"/>
        <v>15</v>
      </c>
      <c r="DN10" s="20">
        <f t="shared" ca="1" si="74"/>
        <v>3</v>
      </c>
      <c r="DO10" s="19" t="str">
        <f t="shared" ca="1" si="75"/>
        <v>Notts Forest</v>
      </c>
      <c r="DP10" s="20">
        <f t="shared" ca="1" si="76"/>
        <v>2</v>
      </c>
      <c r="DQ10" s="46">
        <f t="shared" ca="1" si="77"/>
        <v>4.7368421052631575</v>
      </c>
      <c r="DS10" s="101" t="s">
        <v>1</v>
      </c>
      <c r="DT10" s="89">
        <f ca="1">IF(AB8="","",AVERAGE((AB8:AB45)))</f>
        <v>10.815789473684211</v>
      </c>
      <c r="DU10" s="89">
        <f ca="1">IF(AC8="","",AVERAGE((AC8:AC45)))</f>
        <v>12.684210526315789</v>
      </c>
      <c r="DV10" s="89">
        <f ca="1">IF(AD8="","",AVERAGE((AD8:AD45)))</f>
        <v>23.5</v>
      </c>
      <c r="DW10" s="86"/>
      <c r="DX10" s="86"/>
      <c r="DY10" s="86"/>
    </row>
    <row r="11" spans="2:129" x14ac:dyDescent="0.25">
      <c r="B11" s="25"/>
      <c r="C11" s="25"/>
      <c r="D11" s="49"/>
      <c r="E11" s="49"/>
      <c r="F11" s="81"/>
      <c r="G11" s="81"/>
      <c r="I11" s="43" t="str">
        <f t="shared" si="14"/>
        <v>i</v>
      </c>
      <c r="J11" s="43">
        <f t="shared" si="78"/>
        <v>4</v>
      </c>
      <c r="K11" s="44">
        <f ca="1">IF(M11="",0,COUNTIF(INDIRECT($J$4&amp;":"&amp;$J$5),"&lt;"&amp;V11)+COUNTIF($V$8:V11,V11))</f>
        <v>19</v>
      </c>
      <c r="L11" s="45">
        <f t="shared" si="79"/>
        <v>4</v>
      </c>
      <c r="M11" s="41" t="s">
        <v>46</v>
      </c>
      <c r="N11" s="42" t="s">
        <v>2</v>
      </c>
      <c r="O11" s="42">
        <v>36</v>
      </c>
      <c r="P11" s="42">
        <v>7</v>
      </c>
      <c r="Q11" s="42">
        <v>12</v>
      </c>
      <c r="R11" s="45"/>
      <c r="S11" s="45" t="str">
        <f t="shared" si="15"/>
        <v/>
      </c>
      <c r="T11" s="12" t="str">
        <f t="shared" si="16"/>
        <v/>
      </c>
      <c r="V11" s="12" t="str">
        <f t="shared" si="17"/>
        <v>Liverpool</v>
      </c>
      <c r="W11" s="69">
        <f t="shared" ca="1" si="84"/>
        <v>4</v>
      </c>
      <c r="X11" s="71" t="str">
        <f t="shared" ca="1" si="80"/>
        <v>Bournemouth</v>
      </c>
      <c r="Y11" s="71">
        <f t="shared" ca="1" si="18"/>
        <v>34</v>
      </c>
      <c r="Z11" s="69" t="str">
        <f t="shared" ca="1" si="19"/>
        <v>H</v>
      </c>
      <c r="AA11" s="69">
        <f t="shared" ca="1" si="20"/>
        <v>56</v>
      </c>
      <c r="AB11" s="66">
        <f t="shared" ca="1" si="21"/>
        <v>8</v>
      </c>
      <c r="AC11" s="66">
        <f t="shared" ca="1" si="22"/>
        <v>14</v>
      </c>
      <c r="AD11" s="66">
        <f t="shared" ca="1" si="23"/>
        <v>22</v>
      </c>
      <c r="AE11" s="70">
        <f t="shared" ca="1" si="81"/>
        <v>4.95</v>
      </c>
      <c r="AF11" s="70">
        <f t="shared" ca="1" si="24"/>
        <v>3.6</v>
      </c>
      <c r="AG11" s="70">
        <f t="shared" ca="1" si="25"/>
        <v>4.0909090909090908</v>
      </c>
      <c r="AH11" s="70">
        <f t="shared" ca="1" si="26"/>
        <v>50.4</v>
      </c>
      <c r="AI11" s="70">
        <f t="shared" ca="1" si="27"/>
        <v>39.6</v>
      </c>
      <c r="AJ11" s="70">
        <f t="shared" ca="1" si="28"/>
        <v>90</v>
      </c>
      <c r="AK11" s="67">
        <f ca="1">IF(X11="","",IF(SUM(AB10:AB11)=0,0,IF($X11=$X10,SUM(AI10:AI11)/SUM(AB10:AB11),0)))</f>
        <v>3.8368421052631581</v>
      </c>
      <c r="AL11" s="67">
        <f ca="1">IF(X11="","",IF(SUM(AC10:AC11)=0,0,IF($X11=$X10,SUM(AH10:AH11)/SUM(AC10:AC11),0)))</f>
        <v>3.693103448275862</v>
      </c>
      <c r="AM11" s="67">
        <f ca="1">IF(X11="","",IF(SUM(AB10:AC11)=0,0,IF($X11=$X10,SUM(AJ10:AJ11)/SUM(AB10:AC11),0)))</f>
        <v>3.75</v>
      </c>
      <c r="AQ11" s="12">
        <f t="shared" si="85"/>
        <v>4</v>
      </c>
      <c r="AR11" s="12">
        <f ca="1">IF($AE11="",0,COUNTIF(INDIRECT(AE$4&amp;":"&amp;AE$5),"&gt;"&amp;AE11)+COUNTIF(AE$8:AE11,AE11))</f>
        <v>8</v>
      </c>
      <c r="AS11" s="12" t="str">
        <f t="shared" ca="1" si="29"/>
        <v>Bournemouth</v>
      </c>
      <c r="AT11" s="12">
        <f t="shared" ca="1" si="30"/>
        <v>4.95</v>
      </c>
      <c r="AV11" s="22">
        <f t="shared" ca="1" si="82"/>
        <v>4</v>
      </c>
      <c r="AW11" s="21" t="str">
        <f t="shared" ca="1" si="31"/>
        <v>Arsenal</v>
      </c>
      <c r="AX11" s="24">
        <f t="shared" ca="1" si="32"/>
        <v>6.5571428571428569</v>
      </c>
      <c r="AZ11" s="12">
        <f t="shared" ref="AZ11:AZ17" si="87">AZ10+1</f>
        <v>4</v>
      </c>
      <c r="BA11" s="12">
        <f ca="1">IF($AE11="",0,COUNTIF(INDIRECT(AF$4&amp;":"&amp;AF$5),"&gt;"&amp;AF11)+COUNTIF(AF$8:AF11,AF11))</f>
        <v>21</v>
      </c>
      <c r="BB11" s="12" t="str">
        <f t="shared" ca="1" si="33"/>
        <v>Bournemouth</v>
      </c>
      <c r="BC11" s="12">
        <f t="shared" ca="1" si="34"/>
        <v>3.6</v>
      </c>
      <c r="BE11" s="22">
        <f t="shared" ca="1" si="35"/>
        <v>4</v>
      </c>
      <c r="BF11" s="21" t="str">
        <f t="shared" ca="1" si="36"/>
        <v>Luton</v>
      </c>
      <c r="BG11" s="24">
        <f t="shared" ca="1" si="37"/>
        <v>6.39</v>
      </c>
      <c r="BI11" s="12">
        <f t="shared" si="86"/>
        <v>4</v>
      </c>
      <c r="BJ11" s="12">
        <f ca="1">IF($AE11="",0,COUNTIF(INDIRECT(AG$4&amp;":"&amp;AG$5),"&gt;"&amp;AG11)+COUNTIF(AG$8:AG11,AG11))</f>
        <v>14</v>
      </c>
      <c r="BK11" s="12" t="str">
        <f t="shared" ca="1" si="38"/>
        <v>Bournemouth</v>
      </c>
      <c r="BL11" s="12">
        <f t="shared" ca="1" si="39"/>
        <v>4.0909090909090908</v>
      </c>
      <c r="BN11" s="22">
        <f t="shared" ca="1" si="40"/>
        <v>4</v>
      </c>
      <c r="BO11" s="21" t="str">
        <f t="shared" ca="1" si="41"/>
        <v>Sheffield Utd</v>
      </c>
      <c r="BP11" s="24">
        <f t="shared" ca="1" si="42"/>
        <v>5.2941176470588234</v>
      </c>
      <c r="BW11" s="14">
        <v>4</v>
      </c>
      <c r="BX11" s="14">
        <f ca="1">IF($CO11="","",COUNTIF(INDIRECT(CA$4&amp;":"&amp;CA$5),"&gt;"&amp;CA11)+COUNTIF(CA$8:CA11,CA11))</f>
        <v>13</v>
      </c>
      <c r="BY11" s="14" t="str">
        <f t="shared" ca="1" si="43"/>
        <v>Brighton</v>
      </c>
      <c r="BZ11" s="14">
        <f t="shared" ca="1" si="44"/>
        <v>2</v>
      </c>
      <c r="CA11" s="14">
        <f t="shared" ca="1" si="45"/>
        <v>3.5068965517241382</v>
      </c>
      <c r="CB11" s="14" t="str">
        <f t="shared" ca="1" si="46"/>
        <v>X14</v>
      </c>
      <c r="CC11" s="14" t="str">
        <f t="shared" ca="1" si="47"/>
        <v>X15</v>
      </c>
      <c r="CD11" s="14" t="str">
        <f t="shared" ca="1" si="48"/>
        <v>AE14</v>
      </c>
      <c r="CE11" s="14" t="str">
        <f t="shared" ca="1" si="49"/>
        <v>AK15</v>
      </c>
      <c r="CF11" s="14">
        <f t="shared" ca="1" si="50"/>
        <v>16</v>
      </c>
      <c r="CG11" s="14">
        <f t="shared" ca="1" si="11"/>
        <v>17</v>
      </c>
      <c r="CH11" s="20">
        <f t="shared" ca="1" si="51"/>
        <v>4</v>
      </c>
      <c r="CI11" s="19" t="str">
        <f t="shared" ca="1" si="52"/>
        <v>Chelsea</v>
      </c>
      <c r="CJ11" s="20">
        <f t="shared" ca="1" si="53"/>
        <v>2</v>
      </c>
      <c r="CK11" s="26">
        <f t="shared" ca="1" si="54"/>
        <v>4.6499999999999995</v>
      </c>
      <c r="CM11" s="14">
        <v>4</v>
      </c>
      <c r="CN11" s="14">
        <f ca="1">IF($CO11="","",COUNTIF(INDIRECT(CQ$4&amp;":"&amp;CQ$5),"&gt;"&amp;CQ11)+COUNTIF(CQ$8:CQ11,CQ11))</f>
        <v>19</v>
      </c>
      <c r="CO11" s="12" t="str">
        <f t="shared" ca="1" si="55"/>
        <v>Brighton</v>
      </c>
      <c r="CP11" s="12">
        <f t="shared" ca="1" si="56"/>
        <v>2</v>
      </c>
      <c r="CQ11" s="12">
        <f t="shared" ca="1" si="57"/>
        <v>2.3029411764705885</v>
      </c>
      <c r="CR11" s="12" t="str">
        <f t="shared" ca="1" si="58"/>
        <v>X14</v>
      </c>
      <c r="CS11" s="12" t="str">
        <f t="shared" ca="1" si="59"/>
        <v>X15</v>
      </c>
      <c r="CT11" s="12" t="str">
        <f t="shared" ca="1" si="60"/>
        <v>AF14</v>
      </c>
      <c r="CU11" s="12" t="str">
        <f t="shared" ca="1" si="61"/>
        <v>AL15</v>
      </c>
      <c r="CV11" s="14">
        <f t="shared" ca="1" si="62"/>
        <v>16</v>
      </c>
      <c r="CW11" s="12">
        <f t="shared" ca="1" si="12"/>
        <v>17</v>
      </c>
      <c r="CX11" s="20">
        <f t="shared" ca="1" si="83"/>
        <v>4</v>
      </c>
      <c r="CY11" s="19" t="str">
        <f t="shared" ca="1" si="63"/>
        <v>Crystal Palace</v>
      </c>
      <c r="CZ11" s="20">
        <f t="shared" ca="1" si="64"/>
        <v>2</v>
      </c>
      <c r="DA11" s="26">
        <f t="shared" ca="1" si="65"/>
        <v>5.3526315789473689</v>
      </c>
      <c r="DC11" s="12">
        <v>4</v>
      </c>
      <c r="DD11" s="12">
        <f ca="1">IF($CO11="","",COUNTIF(INDIRECT(DG$4&amp;":"&amp;DG$5),"&gt;"&amp;DG11)+COUNTIF(DG$8:DG11,DG11))</f>
        <v>19</v>
      </c>
      <c r="DE11" s="12" t="str">
        <f t="shared" ca="1" si="66"/>
        <v>Brighton</v>
      </c>
      <c r="DF11" s="12">
        <f t="shared" ca="1" si="67"/>
        <v>2</v>
      </c>
      <c r="DG11" s="12">
        <f t="shared" ca="1" si="68"/>
        <v>2.8571428571428572</v>
      </c>
      <c r="DH11" s="12" t="str">
        <f t="shared" ca="1" si="69"/>
        <v>X14</v>
      </c>
      <c r="DI11" s="12" t="str">
        <f t="shared" ca="1" si="70"/>
        <v>X15</v>
      </c>
      <c r="DJ11" s="12" t="str">
        <f t="shared" ca="1" si="71"/>
        <v>AG14</v>
      </c>
      <c r="DK11" s="12" t="str">
        <f t="shared" ca="1" si="72"/>
        <v>AM15</v>
      </c>
      <c r="DL11" s="12">
        <f t="shared" ca="1" si="73"/>
        <v>16</v>
      </c>
      <c r="DM11" s="12">
        <f t="shared" ca="1" si="13"/>
        <v>17</v>
      </c>
      <c r="DN11" s="20">
        <f t="shared" ca="1" si="74"/>
        <v>4</v>
      </c>
      <c r="DO11" s="19" t="str">
        <f t="shared" ca="1" si="75"/>
        <v>Crystal Palace</v>
      </c>
      <c r="DP11" s="20">
        <f t="shared" ca="1" si="76"/>
        <v>2</v>
      </c>
      <c r="DQ11" s="46">
        <f t="shared" ca="1" si="77"/>
        <v>4.5</v>
      </c>
      <c r="DW11" s="86"/>
      <c r="DX11" s="86"/>
      <c r="DY11" s="86"/>
    </row>
    <row r="12" spans="2:129" x14ac:dyDescent="0.25">
      <c r="B12" s="25"/>
      <c r="C12" s="25" t="s">
        <v>36</v>
      </c>
      <c r="D12" s="25"/>
      <c r="E12" s="25"/>
      <c r="I12" s="43" t="str">
        <f t="shared" si="14"/>
        <v>i</v>
      </c>
      <c r="J12" s="43">
        <f t="shared" si="78"/>
        <v>5</v>
      </c>
      <c r="K12" s="44">
        <f ca="1">IF(M12="",0,COUNTIF(INDIRECT($J$4&amp;":"&amp;$J$5),"&lt;"&amp;V12)+COUNTIF($V$8:V12,V12))</f>
        <v>13</v>
      </c>
      <c r="L12" s="45">
        <f t="shared" si="79"/>
        <v>5</v>
      </c>
      <c r="M12" s="41" t="s">
        <v>43</v>
      </c>
      <c r="N12" s="42" t="s">
        <v>40</v>
      </c>
      <c r="O12" s="42">
        <v>67</v>
      </c>
      <c r="P12" s="42">
        <v>13</v>
      </c>
      <c r="Q12" s="42">
        <v>9</v>
      </c>
      <c r="R12" s="45"/>
      <c r="S12" s="45" t="str">
        <f t="shared" si="15"/>
        <v/>
      </c>
      <c r="T12" s="12" t="str">
        <f t="shared" si="16"/>
        <v/>
      </c>
      <c r="V12" s="12" t="str">
        <f t="shared" si="17"/>
        <v>Crystal Palace</v>
      </c>
      <c r="W12" s="69">
        <f t="shared" ca="1" si="84"/>
        <v>5</v>
      </c>
      <c r="X12" s="71" t="str">
        <f t="shared" ca="1" si="80"/>
        <v>Brentford</v>
      </c>
      <c r="Y12" s="71">
        <f t="shared" ca="1" si="18"/>
        <v>17</v>
      </c>
      <c r="Z12" s="69" t="str">
        <f t="shared" ca="1" si="19"/>
        <v>A</v>
      </c>
      <c r="AA12" s="69">
        <f t="shared" ca="1" si="20"/>
        <v>68</v>
      </c>
      <c r="AB12" s="66">
        <f t="shared" ca="1" si="21"/>
        <v>6</v>
      </c>
      <c r="AC12" s="66">
        <f t="shared" ca="1" si="22"/>
        <v>19</v>
      </c>
      <c r="AD12" s="66">
        <f t="shared" ca="1" si="23"/>
        <v>25</v>
      </c>
      <c r="AE12" s="70">
        <f t="shared" ca="1" si="81"/>
        <v>4.8</v>
      </c>
      <c r="AF12" s="70">
        <f t="shared" ca="1" si="24"/>
        <v>3.2210526315789476</v>
      </c>
      <c r="AG12" s="70">
        <f t="shared" ca="1" si="25"/>
        <v>3.6</v>
      </c>
      <c r="AH12" s="70">
        <f t="shared" ca="1" si="26"/>
        <v>61.2</v>
      </c>
      <c r="AI12" s="70">
        <f t="shared" ca="1" si="27"/>
        <v>28.8</v>
      </c>
      <c r="AJ12" s="70">
        <f t="shared" ca="1" si="28"/>
        <v>90</v>
      </c>
      <c r="AK12" s="67">
        <f ca="1">IF(X12="","",IF($X12=$X11,SUM(AI11:AI12)/SUM(AB11:AB12),0))</f>
        <v>0</v>
      </c>
      <c r="AL12" s="67">
        <f ca="1">IF(X12="","",IF($X12=$X11,SUM(AH11:AH12)/SUM(AC11:AC12),0))</f>
        <v>0</v>
      </c>
      <c r="AM12" s="67">
        <f ca="1">IF(X12="","",IF($X12=$X11,180/SUM(AB11:AC12),0))</f>
        <v>0</v>
      </c>
      <c r="AQ12" s="12">
        <f t="shared" si="85"/>
        <v>5</v>
      </c>
      <c r="AR12" s="12">
        <f ca="1">IF($AE12="",0,COUNTIF(INDIRECT(AE$4&amp;":"&amp;AE$5),"&gt;"&amp;AE12)+COUNTIF(AE$8:AE12,AE12))</f>
        <v>11</v>
      </c>
      <c r="AS12" s="12" t="str">
        <f t="shared" ca="1" si="29"/>
        <v>Brentford</v>
      </c>
      <c r="AT12" s="12">
        <f t="shared" ca="1" si="30"/>
        <v>4.8</v>
      </c>
      <c r="AV12" s="22">
        <f t="shared" ca="1" si="82"/>
        <v>5</v>
      </c>
      <c r="AW12" s="21" t="str">
        <f t="shared" ca="1" si="31"/>
        <v>Crystal Palace</v>
      </c>
      <c r="AX12" s="24">
        <f t="shared" ca="1" si="32"/>
        <v>6.0750000000000002</v>
      </c>
      <c r="AZ12" s="12">
        <f t="shared" si="87"/>
        <v>5</v>
      </c>
      <c r="BA12" s="12">
        <f ca="1">IF($AE12="",0,COUNTIF(INDIRECT(AF$4&amp;":"&amp;AF$5),"&gt;"&amp;AF12)+COUNTIF(AF$8:AF12,AF12))</f>
        <v>27</v>
      </c>
      <c r="BB12" s="12" t="str">
        <f t="shared" ca="1" si="33"/>
        <v>Brentford</v>
      </c>
      <c r="BC12" s="12">
        <f t="shared" ca="1" si="34"/>
        <v>3.2210526315789476</v>
      </c>
      <c r="BE12" s="22">
        <f t="shared" ca="1" si="35"/>
        <v>5</v>
      </c>
      <c r="BF12" s="21" t="str">
        <f t="shared" ca="1" si="36"/>
        <v>Luton</v>
      </c>
      <c r="BG12" s="24">
        <f t="shared" ca="1" si="37"/>
        <v>6.0750000000000002</v>
      </c>
      <c r="BI12" s="12">
        <f t="shared" si="86"/>
        <v>5</v>
      </c>
      <c r="BJ12" s="12">
        <f ca="1">IF($AE12="",0,COUNTIF(INDIRECT(AG$4&amp;":"&amp;AG$5),"&gt;"&amp;AG12)+COUNTIF(AG$8:AG12,AG12))</f>
        <v>22</v>
      </c>
      <c r="BK12" s="12" t="str">
        <f t="shared" ca="1" si="38"/>
        <v>Brentford</v>
      </c>
      <c r="BL12" s="12">
        <f t="shared" ca="1" si="39"/>
        <v>3.6</v>
      </c>
      <c r="BN12" s="22">
        <f t="shared" ca="1" si="40"/>
        <v>5</v>
      </c>
      <c r="BO12" s="21" t="str">
        <f t="shared" ca="1" si="41"/>
        <v>Crystal Palace</v>
      </c>
      <c r="BP12" s="24">
        <f t="shared" ca="1" si="42"/>
        <v>5</v>
      </c>
      <c r="BW12" s="14">
        <v>5</v>
      </c>
      <c r="BX12" s="14">
        <f ca="1">IF($CO12="","",COUNTIF(INDIRECT(CA$4&amp;":"&amp;CA$5),"&gt;"&amp;CA12)+COUNTIF(CA$8:CA12,CA12))</f>
        <v>9</v>
      </c>
      <c r="BY12" s="14" t="str">
        <f t="shared" ca="1" si="43"/>
        <v>Burnley</v>
      </c>
      <c r="BZ12" s="14">
        <f t="shared" ca="1" si="44"/>
        <v>2</v>
      </c>
      <c r="CA12" s="14">
        <f t="shared" ca="1" si="45"/>
        <v>4.0950000000000006</v>
      </c>
      <c r="CB12" s="14" t="str">
        <f t="shared" ca="1" si="46"/>
        <v>X16</v>
      </c>
      <c r="CC12" s="14" t="str">
        <f t="shared" ca="1" si="47"/>
        <v>X17</v>
      </c>
      <c r="CD12" s="14" t="str">
        <f t="shared" ca="1" si="48"/>
        <v>AE16</v>
      </c>
      <c r="CE12" s="14" t="str">
        <f t="shared" ca="1" si="49"/>
        <v>AK17</v>
      </c>
      <c r="CF12" s="14">
        <f t="shared" ca="1" si="50"/>
        <v>18</v>
      </c>
      <c r="CG12" s="14">
        <f t="shared" ca="1" si="11"/>
        <v>19</v>
      </c>
      <c r="CH12" s="20">
        <f t="shared" ca="1" si="51"/>
        <v>5</v>
      </c>
      <c r="CI12" s="19" t="str">
        <f t="shared" ca="1" si="52"/>
        <v>Wolverhampton</v>
      </c>
      <c r="CJ12" s="20">
        <f t="shared" ca="1" si="53"/>
        <v>2</v>
      </c>
      <c r="CK12" s="26">
        <f t="shared" ca="1" si="54"/>
        <v>4.41</v>
      </c>
      <c r="CM12" s="14">
        <v>5</v>
      </c>
      <c r="CN12" s="14">
        <f ca="1">IF($CO12="","",COUNTIF(INDIRECT(CQ$4&amp;":"&amp;CQ$5),"&gt;"&amp;CQ12)+COUNTIF(CQ$8:CQ12,CQ12))</f>
        <v>10</v>
      </c>
      <c r="CO12" s="12" t="str">
        <f t="shared" ca="1" si="55"/>
        <v>Burnley</v>
      </c>
      <c r="CP12" s="12">
        <f t="shared" ca="1" si="56"/>
        <v>2</v>
      </c>
      <c r="CQ12" s="12">
        <f t="shared" ca="1" si="57"/>
        <v>3.773076923076923</v>
      </c>
      <c r="CR12" s="12" t="str">
        <f t="shared" ca="1" si="58"/>
        <v>X16</v>
      </c>
      <c r="CS12" s="12" t="str">
        <f t="shared" ca="1" si="59"/>
        <v>X17</v>
      </c>
      <c r="CT12" s="12" t="str">
        <f t="shared" ca="1" si="60"/>
        <v>AF16</v>
      </c>
      <c r="CU12" s="12" t="str">
        <f t="shared" ca="1" si="61"/>
        <v>AL17</v>
      </c>
      <c r="CV12" s="14">
        <f t="shared" ca="1" si="62"/>
        <v>18</v>
      </c>
      <c r="CW12" s="12">
        <f t="shared" ca="1" si="12"/>
        <v>19</v>
      </c>
      <c r="CX12" s="20">
        <f t="shared" ca="1" si="83"/>
        <v>5</v>
      </c>
      <c r="CY12" s="19" t="str">
        <f t="shared" ca="1" si="63"/>
        <v>Sheffield Utd</v>
      </c>
      <c r="CZ12" s="20">
        <f t="shared" ca="1" si="64"/>
        <v>2</v>
      </c>
      <c r="DA12" s="26">
        <f t="shared" ca="1" si="65"/>
        <v>4.9846153846153847</v>
      </c>
      <c r="DC12" s="12">
        <v>5</v>
      </c>
      <c r="DD12" s="12">
        <f ca="1">IF($CO12="","",COUNTIF(INDIRECT(DG$4&amp;":"&amp;DG$5),"&gt;"&amp;DG12)+COUNTIF(DG$8:DG12,DG12))</f>
        <v>9</v>
      </c>
      <c r="DE12" s="12" t="str">
        <f t="shared" ca="1" si="66"/>
        <v>Burnley</v>
      </c>
      <c r="DF12" s="12">
        <f t="shared" ca="1" si="67"/>
        <v>2</v>
      </c>
      <c r="DG12" s="12">
        <f t="shared" ca="1" si="68"/>
        <v>3.9130434782608696</v>
      </c>
      <c r="DH12" s="12" t="str">
        <f t="shared" ca="1" si="69"/>
        <v>X16</v>
      </c>
      <c r="DI12" s="12" t="str">
        <f t="shared" ca="1" si="70"/>
        <v>X17</v>
      </c>
      <c r="DJ12" s="12" t="str">
        <f t="shared" ca="1" si="71"/>
        <v>AG16</v>
      </c>
      <c r="DK12" s="12" t="str">
        <f t="shared" ca="1" si="72"/>
        <v>AM17</v>
      </c>
      <c r="DL12" s="12">
        <f t="shared" ca="1" si="73"/>
        <v>18</v>
      </c>
      <c r="DM12" s="12">
        <f t="shared" ca="1" si="13"/>
        <v>19</v>
      </c>
      <c r="DN12" s="20">
        <f t="shared" ca="1" si="74"/>
        <v>5</v>
      </c>
      <c r="DO12" s="19" t="str">
        <f t="shared" ca="1" si="75"/>
        <v>Sheffield Utd</v>
      </c>
      <c r="DP12" s="20">
        <f t="shared" ca="1" si="76"/>
        <v>2</v>
      </c>
      <c r="DQ12" s="46">
        <f t="shared" ca="1" si="77"/>
        <v>4.0909090909090908</v>
      </c>
      <c r="DW12" s="86"/>
      <c r="DX12" s="86"/>
      <c r="DY12" s="86"/>
    </row>
    <row r="13" spans="2:129" x14ac:dyDescent="0.25">
      <c r="B13" s="25"/>
      <c r="C13" s="54" t="s">
        <v>59</v>
      </c>
      <c r="D13" s="49"/>
      <c r="E13" s="49"/>
      <c r="F13" s="81"/>
      <c r="G13" s="81"/>
      <c r="I13" s="43" t="str">
        <f t="shared" si="14"/>
        <v>i</v>
      </c>
      <c r="J13" s="43">
        <f t="shared" si="78"/>
        <v>6</v>
      </c>
      <c r="K13" s="44">
        <f ca="1">IF(M13="",0,COUNTIF(INDIRECT($J$4&amp;":"&amp;$J$5),"&lt;"&amp;V13)+COUNTIF($V$8:V13,V13))</f>
        <v>11</v>
      </c>
      <c r="L13" s="45">
        <f t="shared" si="79"/>
        <v>6</v>
      </c>
      <c r="M13" s="41" t="s">
        <v>50</v>
      </c>
      <c r="N13" s="42" t="s">
        <v>2</v>
      </c>
      <c r="O13" s="42">
        <v>47</v>
      </c>
      <c r="P13" s="42">
        <v>11</v>
      </c>
      <c r="Q13" s="42">
        <v>9</v>
      </c>
      <c r="R13" s="45"/>
      <c r="S13" s="45" t="str">
        <f t="shared" si="15"/>
        <v/>
      </c>
      <c r="T13" s="12" t="str">
        <f t="shared" si="16"/>
        <v/>
      </c>
      <c r="V13" s="12" t="str">
        <f t="shared" si="17"/>
        <v>Chelsea</v>
      </c>
      <c r="W13" s="69">
        <f t="shared" ca="1" si="84"/>
        <v>6</v>
      </c>
      <c r="X13" s="71" t="str">
        <f t="shared" ca="1" si="80"/>
        <v>Brentford</v>
      </c>
      <c r="Y13" s="71">
        <f t="shared" ca="1" si="18"/>
        <v>32</v>
      </c>
      <c r="Z13" s="69" t="str">
        <f t="shared" ca="1" si="19"/>
        <v>A</v>
      </c>
      <c r="AA13" s="69">
        <f t="shared" ca="1" si="20"/>
        <v>69</v>
      </c>
      <c r="AB13" s="66">
        <f t="shared" ca="1" si="21"/>
        <v>15</v>
      </c>
      <c r="AC13" s="66">
        <f t="shared" ca="1" si="22"/>
        <v>11</v>
      </c>
      <c r="AD13" s="66">
        <f t="shared" ca="1" si="23"/>
        <v>26</v>
      </c>
      <c r="AE13" s="70">
        <f t="shared" ca="1" si="81"/>
        <v>1.86</v>
      </c>
      <c r="AF13" s="70">
        <f t="shared" ca="1" si="24"/>
        <v>5.6454545454545455</v>
      </c>
      <c r="AG13" s="70">
        <f t="shared" ca="1" si="25"/>
        <v>3.4615384615384617</v>
      </c>
      <c r="AH13" s="70">
        <f t="shared" ca="1" si="26"/>
        <v>62.1</v>
      </c>
      <c r="AI13" s="70">
        <f t="shared" ca="1" si="27"/>
        <v>27.900000000000002</v>
      </c>
      <c r="AJ13" s="70">
        <f t="shared" ca="1" si="28"/>
        <v>90</v>
      </c>
      <c r="AK13" s="67">
        <f ca="1">IF(X13="","",IF(SUM(AB12:AB13)=0,0,IF($X13=$X12,SUM(AI12:AI13)/SUM(AB12:AB13),0)))</f>
        <v>2.7</v>
      </c>
      <c r="AL13" s="67">
        <f ca="1">IF(X13="","",IF(SUM(AC12:AC13)=0,0,IF($X13=$X12,SUM(AH12:AH13)/SUM(AC12:AC13),0)))</f>
        <v>4.1100000000000003</v>
      </c>
      <c r="AM13" s="67">
        <f ca="1">IF(X13="","",IF(SUM(AB12:AC13)=0,0,IF($X13=$X12,SUM(AJ12:AJ13)/SUM(AB12:AC13),0)))</f>
        <v>3.5294117647058822</v>
      </c>
      <c r="AQ13" s="12">
        <f t="shared" si="85"/>
        <v>6</v>
      </c>
      <c r="AR13" s="12">
        <f ca="1">IF($AE13="",0,COUNTIF(INDIRECT(AE$4&amp;":"&amp;AE$5),"&gt;"&amp;AE13)+COUNTIF(AE$8:AE13,AE13))</f>
        <v>37</v>
      </c>
      <c r="AS13" s="12" t="str">
        <f t="shared" ca="1" si="29"/>
        <v>Brentford</v>
      </c>
      <c r="AT13" s="12">
        <f t="shared" ca="1" si="30"/>
        <v>1.86</v>
      </c>
      <c r="AV13" s="22">
        <f t="shared" ca="1" si="82"/>
        <v>6</v>
      </c>
      <c r="AW13" s="21" t="str">
        <f t="shared" ca="1" si="31"/>
        <v>Tottenham</v>
      </c>
      <c r="AX13" s="24">
        <f t="shared" ca="1" si="32"/>
        <v>5.6454545454545455</v>
      </c>
      <c r="AZ13" s="12">
        <f t="shared" si="87"/>
        <v>6</v>
      </c>
      <c r="BA13" s="12">
        <f ca="1">IF($AE13="",0,COUNTIF(INDIRECT(AF$4&amp;":"&amp;AF$5),"&gt;"&amp;AF13)+COUNTIF(AF$8:AF13,AF13))</f>
        <v>7</v>
      </c>
      <c r="BB13" s="12" t="str">
        <f t="shared" ca="1" si="33"/>
        <v>Brentford</v>
      </c>
      <c r="BC13" s="12">
        <f t="shared" ca="1" si="34"/>
        <v>5.6454545454545455</v>
      </c>
      <c r="BE13" s="22">
        <f t="shared" ca="1" si="35"/>
        <v>6</v>
      </c>
      <c r="BF13" s="21" t="str">
        <f t="shared" ca="1" si="36"/>
        <v>Sheffield Utd</v>
      </c>
      <c r="BG13" s="24">
        <f t="shared" ca="1" si="37"/>
        <v>5.9399999999999995</v>
      </c>
      <c r="BI13" s="12">
        <f t="shared" si="86"/>
        <v>6</v>
      </c>
      <c r="BJ13" s="12">
        <f ca="1">IF($AE13="",0,COUNTIF(INDIRECT(AG$4&amp;":"&amp;AG$5),"&gt;"&amp;AG13)+COUNTIF(AG$8:AG13,AG13))</f>
        <v>25</v>
      </c>
      <c r="BK13" s="12" t="str">
        <f t="shared" ca="1" si="38"/>
        <v>Brentford</v>
      </c>
      <c r="BL13" s="12">
        <f t="shared" ca="1" si="39"/>
        <v>3.4615384615384617</v>
      </c>
      <c r="BN13" s="22">
        <f t="shared" ca="1" si="40"/>
        <v>6</v>
      </c>
      <c r="BO13" s="21" t="str">
        <f t="shared" ca="1" si="41"/>
        <v>Arsenal</v>
      </c>
      <c r="BP13" s="24">
        <f t="shared" ca="1" si="42"/>
        <v>4.7368421052631575</v>
      </c>
      <c r="BW13" s="14">
        <v>6</v>
      </c>
      <c r="BX13" s="14">
        <f ca="1">IF($CO13="","",COUNTIF(INDIRECT(CA$4&amp;":"&amp;CA$5),"&gt;"&amp;CA13)+COUNTIF(CA$8:CA13,CA13))</f>
        <v>4</v>
      </c>
      <c r="BY13" s="14" t="str">
        <f t="shared" ca="1" si="43"/>
        <v>Chelsea</v>
      </c>
      <c r="BZ13" s="14">
        <f t="shared" ca="1" si="44"/>
        <v>2</v>
      </c>
      <c r="CA13" s="14">
        <f t="shared" ca="1" si="45"/>
        <v>4.6499999999999995</v>
      </c>
      <c r="CB13" s="14" t="str">
        <f t="shared" ca="1" si="46"/>
        <v>X18</v>
      </c>
      <c r="CC13" s="14" t="str">
        <f t="shared" ca="1" si="47"/>
        <v>X19</v>
      </c>
      <c r="CD13" s="14" t="str">
        <f t="shared" ca="1" si="48"/>
        <v>AE18</v>
      </c>
      <c r="CE13" s="14" t="str">
        <f t="shared" ca="1" si="49"/>
        <v>AK19</v>
      </c>
      <c r="CF13" s="14">
        <f t="shared" ca="1" si="50"/>
        <v>20</v>
      </c>
      <c r="CG13" s="14">
        <f t="shared" ca="1" si="11"/>
        <v>21</v>
      </c>
      <c r="CH13" s="20">
        <f t="shared" ca="1" si="51"/>
        <v>6</v>
      </c>
      <c r="CI13" s="19" t="str">
        <f t="shared" ca="1" si="52"/>
        <v>Arsenal</v>
      </c>
      <c r="CJ13" s="20">
        <f t="shared" ca="1" si="53"/>
        <v>2</v>
      </c>
      <c r="CK13" s="26">
        <f t="shared" ca="1" si="54"/>
        <v>4.3826086956521735</v>
      </c>
      <c r="CM13" s="14">
        <v>6</v>
      </c>
      <c r="CN13" s="14">
        <f ca="1">IF($CO13="","",COUNTIF(INDIRECT(CQ$4&amp;":"&amp;CQ$5),"&gt;"&amp;CQ13)+COUNTIF(CQ$8:CQ13,CQ13))</f>
        <v>15</v>
      </c>
      <c r="CO13" s="12" t="str">
        <f t="shared" ca="1" si="55"/>
        <v>Chelsea</v>
      </c>
      <c r="CP13" s="12">
        <f t="shared" ca="1" si="56"/>
        <v>2</v>
      </c>
      <c r="CQ13" s="12">
        <f t="shared" ca="1" si="57"/>
        <v>2.973913043478261</v>
      </c>
      <c r="CR13" s="12" t="str">
        <f t="shared" ca="1" si="58"/>
        <v>X18</v>
      </c>
      <c r="CS13" s="12" t="str">
        <f t="shared" ca="1" si="59"/>
        <v>X19</v>
      </c>
      <c r="CT13" s="12" t="str">
        <f t="shared" ca="1" si="60"/>
        <v>AF18</v>
      </c>
      <c r="CU13" s="12" t="str">
        <f t="shared" ca="1" si="61"/>
        <v>AL19</v>
      </c>
      <c r="CV13" s="14">
        <f t="shared" ca="1" si="62"/>
        <v>20</v>
      </c>
      <c r="CW13" s="12">
        <f t="shared" ca="1" si="12"/>
        <v>21</v>
      </c>
      <c r="CX13" s="20">
        <f t="shared" ca="1" si="83"/>
        <v>6</v>
      </c>
      <c r="CY13" s="19" t="str">
        <f t="shared" ca="1" si="63"/>
        <v>Everton</v>
      </c>
      <c r="CZ13" s="20">
        <f t="shared" ca="1" si="64"/>
        <v>2</v>
      </c>
      <c r="DA13" s="26">
        <f t="shared" ca="1" si="65"/>
        <v>4.6440000000000001</v>
      </c>
      <c r="DC13" s="12">
        <v>6</v>
      </c>
      <c r="DD13" s="12">
        <f ca="1">IF($CO13="","",COUNTIF(INDIRECT(DG$4&amp;":"&amp;DG$5),"&gt;"&amp;DG13)+COUNTIF(DG$8:DG13,DG13))</f>
        <v>10</v>
      </c>
      <c r="DE13" s="12" t="str">
        <f t="shared" ca="1" si="66"/>
        <v>Chelsea</v>
      </c>
      <c r="DF13" s="12">
        <f t="shared" ca="1" si="67"/>
        <v>2</v>
      </c>
      <c r="DG13" s="12">
        <f t="shared" ca="1" si="68"/>
        <v>3.8297872340425534</v>
      </c>
      <c r="DH13" s="12" t="str">
        <f t="shared" ca="1" si="69"/>
        <v>X18</v>
      </c>
      <c r="DI13" s="12" t="str">
        <f t="shared" ca="1" si="70"/>
        <v>X19</v>
      </c>
      <c r="DJ13" s="12" t="str">
        <f t="shared" ca="1" si="71"/>
        <v>AG18</v>
      </c>
      <c r="DK13" s="12" t="str">
        <f t="shared" ca="1" si="72"/>
        <v>AM19</v>
      </c>
      <c r="DL13" s="12">
        <f t="shared" ca="1" si="73"/>
        <v>20</v>
      </c>
      <c r="DM13" s="12">
        <f t="shared" ca="1" si="13"/>
        <v>21</v>
      </c>
      <c r="DN13" s="20">
        <f t="shared" ca="1" si="74"/>
        <v>6</v>
      </c>
      <c r="DO13" s="19" t="str">
        <f t="shared" ca="1" si="75"/>
        <v>Liverpool</v>
      </c>
      <c r="DP13" s="20">
        <f t="shared" ca="1" si="76"/>
        <v>2</v>
      </c>
      <c r="DQ13" s="46">
        <f t="shared" ca="1" si="77"/>
        <v>4</v>
      </c>
      <c r="DW13" s="86"/>
      <c r="DX13" s="86"/>
      <c r="DY13" s="86"/>
    </row>
    <row r="14" spans="2:129" x14ac:dyDescent="0.25">
      <c r="B14" s="25"/>
      <c r="C14" s="25"/>
      <c r="D14" s="25"/>
      <c r="E14" s="25"/>
      <c r="I14" s="43" t="str">
        <f t="shared" si="14"/>
        <v>i</v>
      </c>
      <c r="J14" s="43">
        <f t="shared" si="78"/>
        <v>7</v>
      </c>
      <c r="K14" s="44">
        <f ca="1">IF(M14="",0,COUNTIF(INDIRECT($J$4&amp;":"&amp;$J$5),"&lt;"&amp;V14)+COUNTIF($V$8:V14,V14))</f>
        <v>7</v>
      </c>
      <c r="L14" s="45">
        <f t="shared" si="79"/>
        <v>7</v>
      </c>
      <c r="M14" s="41" t="s">
        <v>47</v>
      </c>
      <c r="N14" s="42" t="s">
        <v>40</v>
      </c>
      <c r="O14" s="42">
        <v>39</v>
      </c>
      <c r="P14" s="42">
        <v>19</v>
      </c>
      <c r="Q14" s="42">
        <v>21</v>
      </c>
      <c r="R14" s="45"/>
      <c r="S14" s="45" t="str">
        <f t="shared" si="15"/>
        <v/>
      </c>
      <c r="T14" s="12" t="str">
        <f t="shared" si="16"/>
        <v/>
      </c>
      <c r="V14" s="12" t="str">
        <f t="shared" si="17"/>
        <v>Brighton</v>
      </c>
      <c r="W14" s="69">
        <f t="shared" ca="1" si="84"/>
        <v>7</v>
      </c>
      <c r="X14" s="71" t="str">
        <f t="shared" ca="1" si="80"/>
        <v>Brighton</v>
      </c>
      <c r="Y14" s="71">
        <f t="shared" ca="1" si="18"/>
        <v>7</v>
      </c>
      <c r="Z14" s="69" t="str">
        <f t="shared" ca="1" si="19"/>
        <v>H</v>
      </c>
      <c r="AA14" s="69">
        <f t="shared" ca="1" si="20"/>
        <v>39</v>
      </c>
      <c r="AB14" s="66">
        <f t="shared" ca="1" si="21"/>
        <v>19</v>
      </c>
      <c r="AC14" s="66">
        <f t="shared" ca="1" si="22"/>
        <v>21</v>
      </c>
      <c r="AD14" s="66">
        <f t="shared" ca="1" si="23"/>
        <v>40</v>
      </c>
      <c r="AE14" s="70">
        <f t="shared" ca="1" si="81"/>
        <v>2.8894736842105262</v>
      </c>
      <c r="AF14" s="70">
        <f t="shared" ca="1" si="24"/>
        <v>1.6714285714285715</v>
      </c>
      <c r="AG14" s="70">
        <f t="shared" ca="1" si="25"/>
        <v>2.25</v>
      </c>
      <c r="AH14" s="70">
        <f t="shared" ca="1" si="26"/>
        <v>35.1</v>
      </c>
      <c r="AI14" s="70">
        <f t="shared" ca="1" si="27"/>
        <v>54.9</v>
      </c>
      <c r="AJ14" s="70">
        <f t="shared" ca="1" si="28"/>
        <v>90</v>
      </c>
      <c r="AK14" s="67">
        <f ca="1">IF(X14="","",IF($X14=$X13,SUM(AI13:AI14)/SUM(AB13:AB14),0))</f>
        <v>0</v>
      </c>
      <c r="AL14" s="67">
        <f ca="1">IF(X14="","",IF($X14=$X13,SUM(AH13:AH14)/SUM(AC13:AC14),0))</f>
        <v>0</v>
      </c>
      <c r="AM14" s="67">
        <f ca="1">IF(X14="","",IF($X14=$X13,180/SUM(AB13:AC14),0))</f>
        <v>0</v>
      </c>
      <c r="AQ14" s="12">
        <f t="shared" si="85"/>
        <v>7</v>
      </c>
      <c r="AR14" s="12">
        <f ca="1">IF($AE14="",0,COUNTIF(INDIRECT(AE$4&amp;":"&amp;AE$5),"&gt;"&amp;AE14)+COUNTIF(AE$8:AE14,AE14))</f>
        <v>28</v>
      </c>
      <c r="AS14" s="12" t="str">
        <f t="shared" ca="1" si="29"/>
        <v>Brighton</v>
      </c>
      <c r="AT14" s="12">
        <f t="shared" ca="1" si="30"/>
        <v>2.8894736842105262</v>
      </c>
      <c r="AV14" s="22">
        <f t="shared" ca="1" si="82"/>
        <v>7</v>
      </c>
      <c r="AW14" s="21" t="str">
        <f t="shared" ca="1" si="31"/>
        <v>Notts Forest</v>
      </c>
      <c r="AX14" s="24">
        <f t="shared" ca="1" si="32"/>
        <v>5.4</v>
      </c>
      <c r="AZ14" s="12">
        <f t="shared" si="87"/>
        <v>7</v>
      </c>
      <c r="BA14" s="12">
        <f ca="1">IF($AE14="",0,COUNTIF(INDIRECT(AF$4&amp;":"&amp;AF$5),"&gt;"&amp;AF14)+COUNTIF(AF$8:AF14,AF14))</f>
        <v>38</v>
      </c>
      <c r="BB14" s="12" t="str">
        <f t="shared" ca="1" si="33"/>
        <v>Brighton</v>
      </c>
      <c r="BC14" s="12">
        <f t="shared" ca="1" si="34"/>
        <v>1.6714285714285715</v>
      </c>
      <c r="BE14" s="22">
        <f t="shared" ca="1" si="35"/>
        <v>7</v>
      </c>
      <c r="BF14" s="21" t="str">
        <f t="shared" ca="1" si="36"/>
        <v>Brentford</v>
      </c>
      <c r="BG14" s="24">
        <f t="shared" ca="1" si="37"/>
        <v>5.6454545454545455</v>
      </c>
      <c r="BI14" s="12">
        <f t="shared" si="86"/>
        <v>7</v>
      </c>
      <c r="BJ14" s="12">
        <f ca="1">IF($AE14="",0,COUNTIF(INDIRECT(AG$4&amp;":"&amp;AG$5),"&gt;"&amp;AG14)+COUNTIF(AG$8:AG14,AG14))</f>
        <v>38</v>
      </c>
      <c r="BK14" s="12" t="str">
        <f t="shared" ca="1" si="38"/>
        <v>Brighton</v>
      </c>
      <c r="BL14" s="12">
        <f t="shared" ca="1" si="39"/>
        <v>2.25</v>
      </c>
      <c r="BN14" s="22">
        <f t="shared" ca="1" si="40"/>
        <v>7</v>
      </c>
      <c r="BO14" s="21" t="str">
        <f t="shared" ca="1" si="41"/>
        <v>Liverpool</v>
      </c>
      <c r="BP14" s="24">
        <f t="shared" ca="1" si="42"/>
        <v>4.7368421052631575</v>
      </c>
      <c r="BW14" s="14">
        <v>7</v>
      </c>
      <c r="BX14" s="14">
        <f ca="1">IF($CO14="","",COUNTIF(INDIRECT(CA$4&amp;":"&amp;CA$5),"&gt;"&amp;CA14)+COUNTIF(CA$8:CA14,CA14))</f>
        <v>12</v>
      </c>
      <c r="BY14" s="14" t="str">
        <f t="shared" ca="1" si="43"/>
        <v>Crystal Palace</v>
      </c>
      <c r="BZ14" s="14">
        <f t="shared" ca="1" si="44"/>
        <v>2</v>
      </c>
      <c r="CA14" s="14">
        <f t="shared" ca="1" si="45"/>
        <v>3.7285714285714286</v>
      </c>
      <c r="CB14" s="14" t="str">
        <f t="shared" ca="1" si="46"/>
        <v>X20</v>
      </c>
      <c r="CC14" s="14" t="str">
        <f t="shared" ca="1" si="47"/>
        <v>X21</v>
      </c>
      <c r="CD14" s="14" t="str">
        <f t="shared" ca="1" si="48"/>
        <v>AE20</v>
      </c>
      <c r="CE14" s="14" t="str">
        <f t="shared" ca="1" si="49"/>
        <v>AK21</v>
      </c>
      <c r="CF14" s="14">
        <f t="shared" ca="1" si="50"/>
        <v>22</v>
      </c>
      <c r="CG14" s="14">
        <f t="shared" ca="1" si="11"/>
        <v>23</v>
      </c>
      <c r="CH14" s="20">
        <f t="shared" ca="1" si="51"/>
        <v>7</v>
      </c>
      <c r="CI14" s="19" t="str">
        <f t="shared" ca="1" si="52"/>
        <v>Man Utd</v>
      </c>
      <c r="CJ14" s="20">
        <f t="shared" ca="1" si="53"/>
        <v>2</v>
      </c>
      <c r="CK14" s="26">
        <f t="shared" ca="1" si="54"/>
        <v>4.2631578947368425</v>
      </c>
      <c r="CM14" s="14">
        <v>7</v>
      </c>
      <c r="CN14" s="14">
        <f ca="1">IF($CO14="","",COUNTIF(INDIRECT(CQ$4&amp;":"&amp;CQ$5),"&gt;"&amp;CQ14)+COUNTIF(CQ$8:CQ14,CQ14))</f>
        <v>4</v>
      </c>
      <c r="CO14" s="12" t="str">
        <f t="shared" ca="1" si="55"/>
        <v>Crystal Palace</v>
      </c>
      <c r="CP14" s="12">
        <f t="shared" ca="1" si="56"/>
        <v>2</v>
      </c>
      <c r="CQ14" s="12">
        <f t="shared" ca="1" si="57"/>
        <v>5.3526315789473689</v>
      </c>
      <c r="CR14" s="12" t="str">
        <f t="shared" ca="1" si="58"/>
        <v>X20</v>
      </c>
      <c r="CS14" s="12" t="str">
        <f t="shared" ca="1" si="59"/>
        <v>X21</v>
      </c>
      <c r="CT14" s="12" t="str">
        <f t="shared" ca="1" si="60"/>
        <v>AF20</v>
      </c>
      <c r="CU14" s="12" t="str">
        <f t="shared" ca="1" si="61"/>
        <v>AL21</v>
      </c>
      <c r="CV14" s="14">
        <f t="shared" ca="1" si="62"/>
        <v>22</v>
      </c>
      <c r="CW14" s="12">
        <f t="shared" ca="1" si="12"/>
        <v>23</v>
      </c>
      <c r="CX14" s="20">
        <f t="shared" ca="1" si="83"/>
        <v>7</v>
      </c>
      <c r="CY14" s="19" t="str">
        <f t="shared" ca="1" si="63"/>
        <v>Brentford</v>
      </c>
      <c r="CZ14" s="20">
        <f t="shared" ca="1" si="64"/>
        <v>2</v>
      </c>
      <c r="DA14" s="26">
        <f t="shared" ca="1" si="65"/>
        <v>4.1100000000000003</v>
      </c>
      <c r="DC14" s="12">
        <v>7</v>
      </c>
      <c r="DD14" s="12">
        <f ca="1">IF($CO14="","",COUNTIF(INDIRECT(DG$4&amp;":"&amp;DG$5),"&gt;"&amp;DG14)+COUNTIF(DG$8:DG14,DG14))</f>
        <v>4</v>
      </c>
      <c r="DE14" s="12" t="str">
        <f t="shared" ca="1" si="66"/>
        <v>Crystal Palace</v>
      </c>
      <c r="DF14" s="12">
        <f t="shared" ca="1" si="67"/>
        <v>2</v>
      </c>
      <c r="DG14" s="12">
        <f t="shared" ca="1" si="68"/>
        <v>4.5</v>
      </c>
      <c r="DH14" s="12" t="str">
        <f t="shared" ca="1" si="69"/>
        <v>X20</v>
      </c>
      <c r="DI14" s="12" t="str">
        <f t="shared" ca="1" si="70"/>
        <v>X21</v>
      </c>
      <c r="DJ14" s="12" t="str">
        <f t="shared" ca="1" si="71"/>
        <v>AG20</v>
      </c>
      <c r="DK14" s="12" t="str">
        <f t="shared" ca="1" si="72"/>
        <v>AM21</v>
      </c>
      <c r="DL14" s="12">
        <f t="shared" ca="1" si="73"/>
        <v>22</v>
      </c>
      <c r="DM14" s="12">
        <f t="shared" ca="1" si="13"/>
        <v>23</v>
      </c>
      <c r="DN14" s="20">
        <f t="shared" ca="1" si="74"/>
        <v>7</v>
      </c>
      <c r="DO14" s="19" t="str">
        <f t="shared" ca="1" si="75"/>
        <v>Man City</v>
      </c>
      <c r="DP14" s="20">
        <f t="shared" ca="1" si="76"/>
        <v>2</v>
      </c>
      <c r="DQ14" s="46">
        <f t="shared" ca="1" si="77"/>
        <v>4</v>
      </c>
      <c r="DW14" s="86"/>
      <c r="DX14" s="86"/>
      <c r="DY14" s="86"/>
    </row>
    <row r="15" spans="2:129" x14ac:dyDescent="0.25">
      <c r="B15" s="25"/>
      <c r="C15" s="50" t="s">
        <v>27</v>
      </c>
      <c r="D15" s="25"/>
      <c r="E15" s="25"/>
      <c r="I15" s="43" t="str">
        <f t="shared" si="14"/>
        <v>i</v>
      </c>
      <c r="J15" s="43">
        <f t="shared" si="78"/>
        <v>8</v>
      </c>
      <c r="K15" s="44">
        <f ca="1">IF(M15="",0,COUNTIF(INDIRECT($J$4&amp;":"&amp;$J$5),"&lt;"&amp;V15)+COUNTIF($V$8:V15,V15))</f>
        <v>37</v>
      </c>
      <c r="L15" s="45">
        <f t="shared" si="79"/>
        <v>8</v>
      </c>
      <c r="M15" s="41" t="s">
        <v>45</v>
      </c>
      <c r="N15" s="42" t="s">
        <v>2</v>
      </c>
      <c r="O15" s="42">
        <v>54</v>
      </c>
      <c r="P15" s="42">
        <v>9</v>
      </c>
      <c r="Q15" s="42">
        <v>19</v>
      </c>
      <c r="R15" s="45"/>
      <c r="S15" s="45" t="str">
        <f t="shared" si="15"/>
        <v/>
      </c>
      <c r="T15" s="12" t="str">
        <f t="shared" si="16"/>
        <v/>
      </c>
      <c r="V15" s="12" t="str">
        <f t="shared" si="17"/>
        <v>Wolverhampton</v>
      </c>
      <c r="W15" s="69">
        <f t="shared" ca="1" si="84"/>
        <v>8</v>
      </c>
      <c r="X15" s="71" t="str">
        <f t="shared" ca="1" si="80"/>
        <v>Brighton</v>
      </c>
      <c r="Y15" s="71">
        <f t="shared" ca="1" si="18"/>
        <v>36</v>
      </c>
      <c r="Z15" s="69" t="str">
        <f t="shared" ca="1" si="19"/>
        <v>A</v>
      </c>
      <c r="AA15" s="69">
        <f t="shared" ca="1" si="20"/>
        <v>48</v>
      </c>
      <c r="AB15" s="66">
        <f t="shared" ca="1" si="21"/>
        <v>10</v>
      </c>
      <c r="AC15" s="66">
        <f t="shared" ca="1" si="22"/>
        <v>13</v>
      </c>
      <c r="AD15" s="66">
        <f t="shared" ca="1" si="23"/>
        <v>23</v>
      </c>
      <c r="AE15" s="70">
        <f t="shared" ca="1" si="81"/>
        <v>4.6800000000000006</v>
      </c>
      <c r="AF15" s="70">
        <f t="shared" ca="1" si="24"/>
        <v>3.3230769230769233</v>
      </c>
      <c r="AG15" s="70">
        <f t="shared" ca="1" si="25"/>
        <v>3.9130434782608696</v>
      </c>
      <c r="AH15" s="70">
        <f t="shared" ca="1" si="26"/>
        <v>43.2</v>
      </c>
      <c r="AI15" s="70">
        <f t="shared" ca="1" si="27"/>
        <v>46.800000000000004</v>
      </c>
      <c r="AJ15" s="70">
        <f t="shared" ca="1" si="28"/>
        <v>90</v>
      </c>
      <c r="AK15" s="67">
        <f ca="1">IF(X15="","",IF(SUM(AB14:AB15)=0,0,IF($X15=$X14,SUM(AI14:AI15)/SUM(AB14:AB15),0)))</f>
        <v>3.5068965517241382</v>
      </c>
      <c r="AL15" s="67">
        <f ca="1">IF(X15="","",IF(SUM(AC14:AC15)=0,0,IF($X15=$X14,SUM(AH14:AH15)/SUM(AC14:AC15),0)))</f>
        <v>2.3029411764705885</v>
      </c>
      <c r="AM15" s="67">
        <f ca="1">IF(X15="","",IF(SUM(AB14:AC15)=0,0,IF($X15=$X14,SUM(AJ14:AJ15)/SUM(AB14:AC15),0)))</f>
        <v>2.8571428571428572</v>
      </c>
      <c r="AQ15" s="12">
        <f t="shared" si="85"/>
        <v>8</v>
      </c>
      <c r="AR15" s="12">
        <f ca="1">IF($AE15="",0,COUNTIF(INDIRECT(AE$4&amp;":"&amp;AE$5),"&gt;"&amp;AE15)+COUNTIF(AE$8:AE15,AE15))</f>
        <v>14</v>
      </c>
      <c r="AS15" s="12" t="str">
        <f t="shared" ca="1" si="29"/>
        <v>Brighton</v>
      </c>
      <c r="AT15" s="12">
        <f t="shared" ca="1" si="30"/>
        <v>4.6800000000000006</v>
      </c>
      <c r="AV15" s="22">
        <f t="shared" ca="1" si="82"/>
        <v>8</v>
      </c>
      <c r="AW15" s="21" t="str">
        <f t="shared" ca="1" si="31"/>
        <v>Bournemouth</v>
      </c>
      <c r="AX15" s="24">
        <f t="shared" ca="1" si="32"/>
        <v>4.95</v>
      </c>
      <c r="AZ15" s="12">
        <f t="shared" si="87"/>
        <v>8</v>
      </c>
      <c r="BA15" s="12">
        <f ca="1">IF($AE15="",0,COUNTIF(INDIRECT(AF$4&amp;":"&amp;AF$5),"&gt;"&amp;AF15)+COUNTIF(AF$8:AF15,AF15))</f>
        <v>24</v>
      </c>
      <c r="BB15" s="12" t="str">
        <f t="shared" ca="1" si="33"/>
        <v>Brighton</v>
      </c>
      <c r="BC15" s="12">
        <f t="shared" ca="1" si="34"/>
        <v>3.3230769230769233</v>
      </c>
      <c r="BE15" s="22">
        <f t="shared" ca="1" si="35"/>
        <v>8</v>
      </c>
      <c r="BF15" s="21" t="str">
        <f t="shared" ca="1" si="36"/>
        <v>Man Utd</v>
      </c>
      <c r="BG15" s="24">
        <f t="shared" ca="1" si="37"/>
        <v>4.8600000000000003</v>
      </c>
      <c r="BI15" s="12">
        <f t="shared" si="86"/>
        <v>8</v>
      </c>
      <c r="BJ15" s="12">
        <f ca="1">IF($AE15="",0,COUNTIF(INDIRECT(AG$4&amp;":"&amp;AG$5),"&gt;"&amp;AG15)+COUNTIF(AG$8:AG15,AG15))</f>
        <v>16</v>
      </c>
      <c r="BK15" s="12" t="str">
        <f t="shared" ca="1" si="38"/>
        <v>Brighton</v>
      </c>
      <c r="BL15" s="12">
        <f t="shared" ca="1" si="39"/>
        <v>3.9130434782608696</v>
      </c>
      <c r="BN15" s="22">
        <f t="shared" ca="1" si="40"/>
        <v>8</v>
      </c>
      <c r="BO15" s="21" t="str">
        <f t="shared" ca="1" si="41"/>
        <v>Man City</v>
      </c>
      <c r="BP15" s="24">
        <f t="shared" ca="1" si="42"/>
        <v>4.7368421052631575</v>
      </c>
      <c r="BW15" s="14">
        <v>8</v>
      </c>
      <c r="BX15" s="14">
        <f ca="1">IF($CO15="","",COUNTIF(INDIRECT(CA$4&amp;":"&amp;CA$5),"&gt;"&amp;CA15)+COUNTIF(CA$8:CA15,CA15))</f>
        <v>15</v>
      </c>
      <c r="BY15" s="14" t="str">
        <f t="shared" ca="1" si="43"/>
        <v>Everton</v>
      </c>
      <c r="BZ15" s="14">
        <f t="shared" ca="1" si="44"/>
        <v>2</v>
      </c>
      <c r="CA15" s="14">
        <f t="shared" ca="1" si="45"/>
        <v>2.9045454545454548</v>
      </c>
      <c r="CB15" s="14" t="str">
        <f t="shared" ca="1" si="46"/>
        <v>X22</v>
      </c>
      <c r="CC15" s="14" t="str">
        <f t="shared" ca="1" si="47"/>
        <v>X23</v>
      </c>
      <c r="CD15" s="14" t="str">
        <f t="shared" ca="1" si="48"/>
        <v>AE22</v>
      </c>
      <c r="CE15" s="14" t="str">
        <f t="shared" ca="1" si="49"/>
        <v>AK23</v>
      </c>
      <c r="CF15" s="14">
        <f t="shared" ca="1" si="50"/>
        <v>24</v>
      </c>
      <c r="CG15" s="14">
        <f t="shared" ca="1" si="11"/>
        <v>25</v>
      </c>
      <c r="CH15" s="20">
        <f t="shared" ca="1" si="51"/>
        <v>8</v>
      </c>
      <c r="CI15" s="19" t="str">
        <f t="shared" ca="1" si="52"/>
        <v>Man City</v>
      </c>
      <c r="CJ15" s="20">
        <f t="shared" ca="1" si="53"/>
        <v>2</v>
      </c>
      <c r="CK15" s="26">
        <f t="shared" ca="1" si="54"/>
        <v>4.2230769230769232</v>
      </c>
      <c r="CM15" s="14">
        <v>8</v>
      </c>
      <c r="CN15" s="14">
        <f ca="1">IF($CO15="","",COUNTIF(INDIRECT(CQ$4&amp;":"&amp;CQ$5),"&gt;"&amp;CQ15)+COUNTIF(CQ$8:CQ15,CQ15))</f>
        <v>6</v>
      </c>
      <c r="CO15" s="12" t="str">
        <f t="shared" ca="1" si="55"/>
        <v>Everton</v>
      </c>
      <c r="CP15" s="12">
        <f t="shared" ca="1" si="56"/>
        <v>2</v>
      </c>
      <c r="CQ15" s="12">
        <f t="shared" ca="1" si="57"/>
        <v>4.6440000000000001</v>
      </c>
      <c r="CR15" s="12" t="str">
        <f t="shared" ca="1" si="58"/>
        <v>X22</v>
      </c>
      <c r="CS15" s="12" t="str">
        <f t="shared" ca="1" si="59"/>
        <v>X23</v>
      </c>
      <c r="CT15" s="12" t="str">
        <f t="shared" ca="1" si="60"/>
        <v>AF22</v>
      </c>
      <c r="CU15" s="12" t="str">
        <f t="shared" ca="1" si="61"/>
        <v>AL23</v>
      </c>
      <c r="CV15" s="14">
        <f t="shared" ca="1" si="62"/>
        <v>24</v>
      </c>
      <c r="CW15" s="12">
        <f t="shared" ca="1" si="12"/>
        <v>25</v>
      </c>
      <c r="CX15" s="20">
        <f t="shared" ca="1" si="83"/>
        <v>8</v>
      </c>
      <c r="CY15" s="19" t="str">
        <f t="shared" ca="1" si="63"/>
        <v>West Ham</v>
      </c>
      <c r="CZ15" s="20">
        <f t="shared" ca="1" si="64"/>
        <v>2</v>
      </c>
      <c r="DA15" s="26">
        <f t="shared" ca="1" si="65"/>
        <v>4.0821428571428573</v>
      </c>
      <c r="DC15" s="12">
        <v>8</v>
      </c>
      <c r="DD15" s="12">
        <f ca="1">IF($CO15="","",COUNTIF(INDIRECT(DG$4&amp;":"&amp;DG$5),"&gt;"&amp;DG15)+COUNTIF(DG$8:DG15,DG15))</f>
        <v>11</v>
      </c>
      <c r="DE15" s="12" t="str">
        <f t="shared" ca="1" si="66"/>
        <v>Everton</v>
      </c>
      <c r="DF15" s="12">
        <f t="shared" ca="1" si="67"/>
        <v>2</v>
      </c>
      <c r="DG15" s="12">
        <f t="shared" ca="1" si="68"/>
        <v>3.8297872340425534</v>
      </c>
      <c r="DH15" s="12" t="str">
        <f t="shared" ca="1" si="69"/>
        <v>X22</v>
      </c>
      <c r="DI15" s="12" t="str">
        <f t="shared" ca="1" si="70"/>
        <v>X23</v>
      </c>
      <c r="DJ15" s="12" t="str">
        <f t="shared" ca="1" si="71"/>
        <v>AG22</v>
      </c>
      <c r="DK15" s="12" t="str">
        <f t="shared" ca="1" si="72"/>
        <v>AM23</v>
      </c>
      <c r="DL15" s="12">
        <f t="shared" ca="1" si="73"/>
        <v>24</v>
      </c>
      <c r="DM15" s="12">
        <f t="shared" ca="1" si="13"/>
        <v>25</v>
      </c>
      <c r="DN15" s="20">
        <f t="shared" ca="1" si="74"/>
        <v>8</v>
      </c>
      <c r="DO15" s="19" t="str">
        <f t="shared" ca="1" si="75"/>
        <v>Arsenal</v>
      </c>
      <c r="DP15" s="20">
        <f t="shared" ca="1" si="76"/>
        <v>2</v>
      </c>
      <c r="DQ15" s="46">
        <f t="shared" ca="1" si="77"/>
        <v>3.9130434782608696</v>
      </c>
      <c r="DW15" s="86"/>
      <c r="DX15" s="86"/>
      <c r="DY15" s="86"/>
    </row>
    <row r="16" spans="2:129" x14ac:dyDescent="0.25">
      <c r="B16" s="25"/>
      <c r="C16" s="25" t="s">
        <v>37</v>
      </c>
      <c r="D16" s="50"/>
      <c r="E16" s="50"/>
      <c r="F16" s="82"/>
      <c r="G16" s="82"/>
      <c r="I16" s="43" t="str">
        <f t="shared" si="14"/>
        <v>i</v>
      </c>
      <c r="J16" s="43">
        <f t="shared" si="78"/>
        <v>9</v>
      </c>
      <c r="K16" s="44">
        <f ca="1">IF(M16="",0,COUNTIF(INDIRECT($J$4&amp;":"&amp;$J$5),"&lt;"&amp;V16)+COUNTIF($V$8:V16,V16))</f>
        <v>35</v>
      </c>
      <c r="L16" s="45">
        <f t="shared" si="79"/>
        <v>9</v>
      </c>
      <c r="M16" s="41" t="s">
        <v>41</v>
      </c>
      <c r="N16" s="42" t="s">
        <v>40</v>
      </c>
      <c r="O16" s="42">
        <v>58</v>
      </c>
      <c r="P16" s="42">
        <v>8</v>
      </c>
      <c r="Q16" s="42">
        <v>15</v>
      </c>
      <c r="R16" s="45"/>
      <c r="S16" s="45" t="str">
        <f t="shared" si="15"/>
        <v/>
      </c>
      <c r="T16" s="12" t="str">
        <f t="shared" si="16"/>
        <v/>
      </c>
      <c r="V16" s="12" t="str">
        <f t="shared" si="17"/>
        <v>West Ham</v>
      </c>
      <c r="W16" s="69">
        <f t="shared" ca="1" si="84"/>
        <v>9</v>
      </c>
      <c r="X16" s="71" t="str">
        <f t="shared" ca="1" si="80"/>
        <v>Burnley</v>
      </c>
      <c r="Y16" s="71">
        <f t="shared" ca="1" si="18"/>
        <v>3</v>
      </c>
      <c r="Z16" s="69" t="str">
        <f t="shared" ca="1" si="19"/>
        <v>A</v>
      </c>
      <c r="AA16" s="69">
        <f t="shared" ca="1" si="20"/>
        <v>43</v>
      </c>
      <c r="AB16" s="66">
        <f t="shared" ca="1" si="21"/>
        <v>11</v>
      </c>
      <c r="AC16" s="66">
        <f t="shared" ca="1" si="22"/>
        <v>12</v>
      </c>
      <c r="AD16" s="66">
        <f t="shared" ca="1" si="23"/>
        <v>23</v>
      </c>
      <c r="AE16" s="70">
        <f t="shared" ca="1" si="81"/>
        <v>4.663636363636364</v>
      </c>
      <c r="AF16" s="70">
        <f t="shared" ca="1" si="24"/>
        <v>3.2250000000000001</v>
      </c>
      <c r="AG16" s="70">
        <f t="shared" ca="1" si="25"/>
        <v>3.9130434782608696</v>
      </c>
      <c r="AH16" s="70">
        <f t="shared" ca="1" si="26"/>
        <v>38.700000000000003</v>
      </c>
      <c r="AI16" s="70">
        <f t="shared" ca="1" si="27"/>
        <v>51.300000000000004</v>
      </c>
      <c r="AJ16" s="70">
        <f t="shared" ca="1" si="28"/>
        <v>90</v>
      </c>
      <c r="AK16" s="67">
        <f ca="1">IF(X16="","",IF($X16=$X15,SUM(AI15:AI16)/SUM(AB15:AB16),0))</f>
        <v>0</v>
      </c>
      <c r="AL16" s="67">
        <f ca="1">IF(X16="","",IF($X16=$X15,SUM(AH15:AH16)/SUM(AC15:AC16),0))</f>
        <v>0</v>
      </c>
      <c r="AM16" s="67">
        <f ca="1">IF(X16="","",IF($X16=$X15,180/SUM(AB15:AC16),0))</f>
        <v>0</v>
      </c>
      <c r="AQ16" s="12">
        <f t="shared" si="85"/>
        <v>9</v>
      </c>
      <c r="AR16" s="12">
        <f ca="1">IF($AE16="",0,COUNTIF(INDIRECT(AE$4&amp;":"&amp;AE$5),"&gt;"&amp;AE16)+COUNTIF(AE$8:AE16,AE16))</f>
        <v>15</v>
      </c>
      <c r="AS16" s="12" t="str">
        <f t="shared" ca="1" si="29"/>
        <v>Burnley</v>
      </c>
      <c r="AT16" s="12">
        <f t="shared" ca="1" si="30"/>
        <v>4.663636363636364</v>
      </c>
      <c r="AV16" s="22">
        <f t="shared" ca="1" si="82"/>
        <v>9</v>
      </c>
      <c r="AW16" s="21" t="str">
        <f t="shared" ca="1" si="31"/>
        <v>Chelsea</v>
      </c>
      <c r="AX16" s="24">
        <f t="shared" ca="1" si="32"/>
        <v>4.9153846153846157</v>
      </c>
      <c r="AZ16" s="12">
        <f t="shared" si="87"/>
        <v>9</v>
      </c>
      <c r="BA16" s="12">
        <f ca="1">IF($AE16="",0,COUNTIF(INDIRECT(AF$4&amp;":"&amp;AF$5),"&gt;"&amp;AF16)+COUNTIF(AF$8:AF16,AF16))</f>
        <v>26</v>
      </c>
      <c r="BB16" s="12" t="str">
        <f t="shared" ca="1" si="33"/>
        <v>Burnley</v>
      </c>
      <c r="BC16" s="12">
        <f t="shared" ca="1" si="34"/>
        <v>3.2250000000000001</v>
      </c>
      <c r="BE16" s="22">
        <f t="shared" ca="1" si="35"/>
        <v>9</v>
      </c>
      <c r="BF16" s="21" t="str">
        <f t="shared" ca="1" si="36"/>
        <v>Man City</v>
      </c>
      <c r="BG16" s="24">
        <f t="shared" ca="1" si="37"/>
        <v>4.8</v>
      </c>
      <c r="BI16" s="12">
        <f t="shared" si="86"/>
        <v>9</v>
      </c>
      <c r="BJ16" s="12">
        <f ca="1">IF($AE16="",0,COUNTIF(INDIRECT(AG$4&amp;":"&amp;AG$5),"&gt;"&amp;AG16)+COUNTIF(AG$8:AG16,AG16))</f>
        <v>17</v>
      </c>
      <c r="BK16" s="12" t="str">
        <f t="shared" ca="1" si="38"/>
        <v>Burnley</v>
      </c>
      <c r="BL16" s="12">
        <f t="shared" ca="1" si="39"/>
        <v>3.9130434782608696</v>
      </c>
      <c r="BN16" s="22">
        <f t="shared" ca="1" si="40"/>
        <v>9</v>
      </c>
      <c r="BO16" s="21" t="str">
        <f t="shared" ca="1" si="41"/>
        <v>Chelsea</v>
      </c>
      <c r="BP16" s="24">
        <f t="shared" ca="1" si="42"/>
        <v>4.5</v>
      </c>
      <c r="BW16" s="14">
        <v>9</v>
      </c>
      <c r="BX16" s="14">
        <f ca="1">IF($CO16="","",COUNTIF(INDIRECT(CA$4&amp;":"&amp;CA$5),"&gt;"&amp;CA16)+COUNTIF(CA$8:CA16,CA16))</f>
        <v>1</v>
      </c>
      <c r="BY16" s="14" t="str">
        <f t="shared" ca="1" si="43"/>
        <v>Fulham</v>
      </c>
      <c r="BZ16" s="14">
        <f t="shared" ca="1" si="44"/>
        <v>2</v>
      </c>
      <c r="CA16" s="14">
        <f t="shared" ca="1" si="45"/>
        <v>9.09</v>
      </c>
      <c r="CB16" s="14" t="str">
        <f t="shared" ca="1" si="46"/>
        <v>X24</v>
      </c>
      <c r="CC16" s="14" t="str">
        <f t="shared" ca="1" si="47"/>
        <v>X25</v>
      </c>
      <c r="CD16" s="14" t="str">
        <f t="shared" ca="1" si="48"/>
        <v>AE24</v>
      </c>
      <c r="CE16" s="14" t="str">
        <f t="shared" ca="1" si="49"/>
        <v>AK25</v>
      </c>
      <c r="CF16" s="14">
        <f t="shared" ca="1" si="50"/>
        <v>26</v>
      </c>
      <c r="CG16" s="14">
        <f t="shared" ca="1" si="11"/>
        <v>27</v>
      </c>
      <c r="CH16" s="20">
        <f t="shared" ca="1" si="51"/>
        <v>9</v>
      </c>
      <c r="CI16" s="19" t="str">
        <f t="shared" ca="1" si="52"/>
        <v>Burnley</v>
      </c>
      <c r="CJ16" s="20">
        <f t="shared" ca="1" si="53"/>
        <v>2</v>
      </c>
      <c r="CK16" s="26">
        <f t="shared" ca="1" si="54"/>
        <v>4.0950000000000006</v>
      </c>
      <c r="CM16" s="14">
        <v>9</v>
      </c>
      <c r="CN16" s="14">
        <f ca="1">IF($CO16="","",COUNTIF(INDIRECT(CQ$4&amp;":"&amp;CQ$5),"&gt;"&amp;CQ16)+COUNTIF(CQ$8:CQ16,CQ16))</f>
        <v>14</v>
      </c>
      <c r="CO16" s="12" t="str">
        <f t="shared" ca="1" si="55"/>
        <v>Fulham</v>
      </c>
      <c r="CP16" s="12">
        <f t="shared" ca="1" si="56"/>
        <v>2</v>
      </c>
      <c r="CQ16" s="12">
        <f t="shared" ca="1" si="57"/>
        <v>3.1821428571428569</v>
      </c>
      <c r="CR16" s="12" t="str">
        <f t="shared" ca="1" si="58"/>
        <v>X24</v>
      </c>
      <c r="CS16" s="12" t="str">
        <f t="shared" ca="1" si="59"/>
        <v>X25</v>
      </c>
      <c r="CT16" s="12" t="str">
        <f t="shared" ca="1" si="60"/>
        <v>AF24</v>
      </c>
      <c r="CU16" s="12" t="str">
        <f t="shared" ca="1" si="61"/>
        <v>AL25</v>
      </c>
      <c r="CV16" s="14">
        <f t="shared" ca="1" si="62"/>
        <v>26</v>
      </c>
      <c r="CW16" s="12">
        <f t="shared" ca="1" si="12"/>
        <v>27</v>
      </c>
      <c r="CX16" s="20">
        <f t="shared" ca="1" si="83"/>
        <v>9</v>
      </c>
      <c r="CY16" s="19" t="str">
        <f t="shared" ca="1" si="63"/>
        <v>Newcastle</v>
      </c>
      <c r="CZ16" s="20">
        <f t="shared" ca="1" si="64"/>
        <v>2</v>
      </c>
      <c r="DA16" s="26">
        <f t="shared" ca="1" si="65"/>
        <v>4.05</v>
      </c>
      <c r="DC16" s="12">
        <v>9</v>
      </c>
      <c r="DD16" s="12">
        <f ca="1">IF($CO16="","",COUNTIF(INDIRECT(DG$4&amp;":"&amp;DG$5),"&gt;"&amp;DG16)+COUNTIF(DG$8:DG16,DG16))</f>
        <v>2</v>
      </c>
      <c r="DE16" s="12" t="str">
        <f t="shared" ca="1" si="66"/>
        <v>Fulham</v>
      </c>
      <c r="DF16" s="12">
        <f t="shared" ca="1" si="67"/>
        <v>2</v>
      </c>
      <c r="DG16" s="12">
        <f t="shared" ca="1" si="68"/>
        <v>4.7368421052631575</v>
      </c>
      <c r="DH16" s="12" t="str">
        <f t="shared" ca="1" si="69"/>
        <v>X24</v>
      </c>
      <c r="DI16" s="12" t="str">
        <f t="shared" ca="1" si="70"/>
        <v>X25</v>
      </c>
      <c r="DJ16" s="12" t="str">
        <f t="shared" ca="1" si="71"/>
        <v>AG24</v>
      </c>
      <c r="DK16" s="12" t="str">
        <f t="shared" ca="1" si="72"/>
        <v>AM25</v>
      </c>
      <c r="DL16" s="12">
        <f t="shared" ca="1" si="73"/>
        <v>26</v>
      </c>
      <c r="DM16" s="12">
        <f t="shared" ca="1" si="13"/>
        <v>27</v>
      </c>
      <c r="DN16" s="20">
        <f t="shared" ca="1" si="74"/>
        <v>9</v>
      </c>
      <c r="DO16" s="19" t="str">
        <f t="shared" ca="1" si="75"/>
        <v>Burnley</v>
      </c>
      <c r="DP16" s="20">
        <f t="shared" ca="1" si="76"/>
        <v>2</v>
      </c>
      <c r="DQ16" s="46">
        <f t="shared" ca="1" si="77"/>
        <v>3.9130434782608696</v>
      </c>
      <c r="DW16" s="86"/>
      <c r="DX16" s="86"/>
      <c r="DY16" s="86"/>
    </row>
    <row r="17" spans="2:129" x14ac:dyDescent="0.25">
      <c r="B17" s="25"/>
      <c r="C17" s="25" t="s">
        <v>28</v>
      </c>
      <c r="D17" s="25"/>
      <c r="E17" s="25"/>
      <c r="I17" s="43" t="str">
        <f t="shared" si="14"/>
        <v>i</v>
      </c>
      <c r="J17" s="43">
        <f t="shared" si="78"/>
        <v>10</v>
      </c>
      <c r="K17" s="44">
        <f ca="1">IF(M17="",0,COUNTIF(INDIRECT($J$4&amp;":"&amp;$J$5),"&lt;"&amp;V17)+COUNTIF($V$8:V17,V17))</f>
        <v>21</v>
      </c>
      <c r="L17" s="45">
        <f t="shared" si="79"/>
        <v>10</v>
      </c>
      <c r="M17" s="41" t="s">
        <v>61</v>
      </c>
      <c r="N17" s="42" t="s">
        <v>40</v>
      </c>
      <c r="O17" s="42">
        <v>71</v>
      </c>
      <c r="P17" s="42">
        <v>11</v>
      </c>
      <c r="Q17" s="42">
        <v>10</v>
      </c>
      <c r="R17" s="45"/>
      <c r="S17" s="45" t="str">
        <f t="shared" si="15"/>
        <v/>
      </c>
      <c r="T17" s="12" t="str">
        <f t="shared" si="16"/>
        <v/>
      </c>
      <c r="V17" s="12" t="str">
        <f t="shared" si="17"/>
        <v>Luton</v>
      </c>
      <c r="W17" s="69">
        <f t="shared" ca="1" si="84"/>
        <v>10</v>
      </c>
      <c r="X17" s="71" t="str">
        <f t="shared" ca="1" si="80"/>
        <v>Burnley</v>
      </c>
      <c r="Y17" s="71">
        <f t="shared" ca="1" si="18"/>
        <v>20</v>
      </c>
      <c r="Z17" s="69" t="str">
        <f t="shared" ca="1" si="19"/>
        <v>H</v>
      </c>
      <c r="AA17" s="69">
        <f t="shared" ca="1" si="20"/>
        <v>66</v>
      </c>
      <c r="AB17" s="66">
        <f t="shared" ca="1" si="21"/>
        <v>9</v>
      </c>
      <c r="AC17" s="66">
        <f t="shared" ca="1" si="22"/>
        <v>14</v>
      </c>
      <c r="AD17" s="66">
        <f t="shared" ca="1" si="23"/>
        <v>23</v>
      </c>
      <c r="AE17" s="70">
        <f t="shared" ca="1" si="81"/>
        <v>3.4000000000000004</v>
      </c>
      <c r="AF17" s="70">
        <f t="shared" ca="1" si="24"/>
        <v>4.2428571428571429</v>
      </c>
      <c r="AG17" s="70">
        <f t="shared" ca="1" si="25"/>
        <v>3.9130434782608696</v>
      </c>
      <c r="AH17" s="70">
        <f t="shared" ca="1" si="26"/>
        <v>59.4</v>
      </c>
      <c r="AI17" s="70">
        <f t="shared" ca="1" si="27"/>
        <v>30.6</v>
      </c>
      <c r="AJ17" s="70">
        <f t="shared" ca="1" si="28"/>
        <v>90</v>
      </c>
      <c r="AK17" s="67">
        <f ca="1">IF(X17="","",IF(SUM(AB16:AB17)=0,0,IF($X17=$X16,SUM(AI16:AI17)/SUM(AB16:AB17),0)))</f>
        <v>4.0950000000000006</v>
      </c>
      <c r="AL17" s="67">
        <f ca="1">IF(X17="","",IF(SUM(AC16:AC17)=0,0,IF($X17=$X16,SUM(AH16:AH17)/SUM(AC16:AC17),0)))</f>
        <v>3.773076923076923</v>
      </c>
      <c r="AM17" s="67">
        <f ca="1">IF(X17="","",IF(SUM(AB16:AC17)=0,0,IF($X17=$X16,SUM(AJ16:AJ17)/SUM(AB16:AC17),0)))</f>
        <v>3.9130434782608696</v>
      </c>
      <c r="AQ17" s="12">
        <f t="shared" si="85"/>
        <v>10</v>
      </c>
      <c r="AR17" s="12">
        <f ca="1">IF($AE17="",0,COUNTIF(INDIRECT(AE$4&amp;":"&amp;AE$5),"&gt;"&amp;AE17)+COUNTIF(AE$8:AE17,AE17))</f>
        <v>26</v>
      </c>
      <c r="AS17" s="12" t="str">
        <f t="shared" ca="1" si="29"/>
        <v>Burnley</v>
      </c>
      <c r="AT17" s="12">
        <f t="shared" ca="1" si="30"/>
        <v>3.4000000000000004</v>
      </c>
      <c r="AV17" s="22">
        <f t="shared" ca="1" si="82"/>
        <v>10</v>
      </c>
      <c r="AW17" s="21" t="str">
        <f t="shared" ca="1" si="31"/>
        <v>Liverpool</v>
      </c>
      <c r="AX17" s="24">
        <f t="shared" ca="1" si="32"/>
        <v>4.8272727272727272</v>
      </c>
      <c r="AZ17" s="12">
        <f t="shared" si="87"/>
        <v>10</v>
      </c>
      <c r="BA17" s="12">
        <f ca="1">IF($AE17="",0,COUNTIF(INDIRECT(AF$4&amp;":"&amp;AF$5),"&gt;"&amp;AF17)+COUNTIF(AF$8:AF17,AF17))</f>
        <v>16</v>
      </c>
      <c r="BB17" s="12" t="str">
        <f t="shared" ca="1" si="33"/>
        <v>Burnley</v>
      </c>
      <c r="BC17" s="12">
        <f t="shared" ca="1" si="34"/>
        <v>4.2428571428571429</v>
      </c>
      <c r="BE17" s="22">
        <f t="shared" ca="1" si="35"/>
        <v>10</v>
      </c>
      <c r="BF17" s="21" t="str">
        <f t="shared" ca="1" si="36"/>
        <v>Everton</v>
      </c>
      <c r="BG17" s="24">
        <f t="shared" ca="1" si="37"/>
        <v>4.7769230769230768</v>
      </c>
      <c r="BI17" s="12">
        <f t="shared" si="86"/>
        <v>10</v>
      </c>
      <c r="BJ17" s="12">
        <f ca="1">IF($AE17="",0,COUNTIF(INDIRECT(AG$4&amp;":"&amp;AG$5),"&gt;"&amp;AG17)+COUNTIF(AG$8:AG17,AG17))</f>
        <v>18</v>
      </c>
      <c r="BK17" s="12" t="str">
        <f t="shared" ca="1" si="38"/>
        <v>Burnley</v>
      </c>
      <c r="BL17" s="12">
        <f t="shared" ca="1" si="39"/>
        <v>3.9130434782608696</v>
      </c>
      <c r="BN17" s="22">
        <f t="shared" ca="1" si="40"/>
        <v>10</v>
      </c>
      <c r="BO17" s="21" t="str">
        <f t="shared" ca="1" si="41"/>
        <v>Everton</v>
      </c>
      <c r="BP17" s="24">
        <f t="shared" ca="1" si="42"/>
        <v>4.5</v>
      </c>
      <c r="BW17" s="14">
        <v>10</v>
      </c>
      <c r="BX17" s="14">
        <f ca="1">IF($CO17="","",COUNTIF(INDIRECT(CA$4&amp;":"&amp;CA$5),"&gt;"&amp;CA17)+COUNTIF(CA$8:CA17,CA17))</f>
        <v>2</v>
      </c>
      <c r="BY17" s="14" t="str">
        <f t="shared" ca="1" si="43"/>
        <v>Liverpool</v>
      </c>
      <c r="BZ17" s="14">
        <f t="shared" ca="1" si="44"/>
        <v>2</v>
      </c>
      <c r="CA17" s="14">
        <f t="shared" ca="1" si="45"/>
        <v>6.15</v>
      </c>
      <c r="CB17" s="14" t="str">
        <f t="shared" ca="1" si="46"/>
        <v>X26</v>
      </c>
      <c r="CC17" s="14" t="str">
        <f t="shared" ca="1" si="47"/>
        <v>X27</v>
      </c>
      <c r="CD17" s="14" t="str">
        <f t="shared" ca="1" si="48"/>
        <v>AE26</v>
      </c>
      <c r="CE17" s="14" t="str">
        <f t="shared" ca="1" si="49"/>
        <v>AK27</v>
      </c>
      <c r="CF17" s="14">
        <f t="shared" ca="1" si="50"/>
        <v>28</v>
      </c>
      <c r="CG17" s="14">
        <f t="shared" ca="1" si="11"/>
        <v>29</v>
      </c>
      <c r="CH17" s="20">
        <f t="shared" ca="1" si="51"/>
        <v>10</v>
      </c>
      <c r="CI17" s="19" t="str">
        <f t="shared" ca="1" si="52"/>
        <v>Bournemouth</v>
      </c>
      <c r="CJ17" s="20">
        <f t="shared" ca="1" si="53"/>
        <v>2</v>
      </c>
      <c r="CK17" s="26">
        <f t="shared" ca="1" si="54"/>
        <v>3.8368421052631581</v>
      </c>
      <c r="CM17" s="14">
        <v>10</v>
      </c>
      <c r="CN17" s="14">
        <f ca="1">IF($CO17="","",COUNTIF(INDIRECT(CQ$4&amp;":"&amp;CQ$5),"&gt;"&amp;CQ17)+COUNTIF(CQ$8:CQ17,CQ17))</f>
        <v>16</v>
      </c>
      <c r="CO17" s="12" t="str">
        <f t="shared" ca="1" si="55"/>
        <v>Liverpool</v>
      </c>
      <c r="CP17" s="12">
        <f t="shared" ca="1" si="56"/>
        <v>2</v>
      </c>
      <c r="CQ17" s="12">
        <f t="shared" ca="1" si="57"/>
        <v>2.5666666666666664</v>
      </c>
      <c r="CR17" s="12" t="str">
        <f t="shared" ca="1" si="58"/>
        <v>X26</v>
      </c>
      <c r="CS17" s="12" t="str">
        <f t="shared" ca="1" si="59"/>
        <v>X27</v>
      </c>
      <c r="CT17" s="12" t="str">
        <f t="shared" ca="1" si="60"/>
        <v>AF26</v>
      </c>
      <c r="CU17" s="12" t="str">
        <f t="shared" ca="1" si="61"/>
        <v>AL27</v>
      </c>
      <c r="CV17" s="14">
        <f t="shared" ca="1" si="62"/>
        <v>28</v>
      </c>
      <c r="CW17" s="12">
        <f t="shared" ca="1" si="12"/>
        <v>29</v>
      </c>
      <c r="CX17" s="20">
        <f t="shared" ca="1" si="83"/>
        <v>10</v>
      </c>
      <c r="CY17" s="19" t="str">
        <f t="shared" ca="1" si="63"/>
        <v>Burnley</v>
      </c>
      <c r="CZ17" s="20">
        <f t="shared" ca="1" si="64"/>
        <v>2</v>
      </c>
      <c r="DA17" s="26">
        <f t="shared" ca="1" si="65"/>
        <v>3.773076923076923</v>
      </c>
      <c r="DC17" s="12">
        <v>10</v>
      </c>
      <c r="DD17" s="12">
        <f ca="1">IF($CO17="","",COUNTIF(INDIRECT(DG$4&amp;":"&amp;DG$5),"&gt;"&amp;DG17)+COUNTIF(DG$8:DG17,DG17))</f>
        <v>6</v>
      </c>
      <c r="DE17" s="12" t="str">
        <f t="shared" ca="1" si="66"/>
        <v>Liverpool</v>
      </c>
      <c r="DF17" s="12">
        <f t="shared" ca="1" si="67"/>
        <v>2</v>
      </c>
      <c r="DG17" s="12">
        <f t="shared" ca="1" si="68"/>
        <v>4</v>
      </c>
      <c r="DH17" s="12" t="str">
        <f t="shared" ca="1" si="69"/>
        <v>X26</v>
      </c>
      <c r="DI17" s="12" t="str">
        <f t="shared" ca="1" si="70"/>
        <v>X27</v>
      </c>
      <c r="DJ17" s="12" t="str">
        <f t="shared" ca="1" si="71"/>
        <v>AG26</v>
      </c>
      <c r="DK17" s="12" t="str">
        <f t="shared" ca="1" si="72"/>
        <v>AM27</v>
      </c>
      <c r="DL17" s="12">
        <f t="shared" ca="1" si="73"/>
        <v>28</v>
      </c>
      <c r="DM17" s="12">
        <f t="shared" ca="1" si="13"/>
        <v>29</v>
      </c>
      <c r="DN17" s="20">
        <f t="shared" ca="1" si="74"/>
        <v>10</v>
      </c>
      <c r="DO17" s="19" t="str">
        <f t="shared" ca="1" si="75"/>
        <v>Chelsea</v>
      </c>
      <c r="DP17" s="20">
        <f t="shared" ca="1" si="76"/>
        <v>2</v>
      </c>
      <c r="DQ17" s="46">
        <f t="shared" ca="1" si="77"/>
        <v>3.8297872340425534</v>
      </c>
      <c r="DW17" s="86"/>
      <c r="DX17" s="86"/>
      <c r="DY17" s="86"/>
    </row>
    <row r="18" spans="2:129" x14ac:dyDescent="0.25">
      <c r="B18" s="25"/>
      <c r="C18" s="25" t="s">
        <v>30</v>
      </c>
      <c r="D18" s="25"/>
      <c r="E18" s="25"/>
      <c r="I18" s="43" t="str">
        <f t="shared" si="14"/>
        <v>i</v>
      </c>
      <c r="J18" s="43">
        <f t="shared" si="78"/>
        <v>11</v>
      </c>
      <c r="K18" s="44">
        <f ca="1">IF(M18="",0,COUNTIF(INDIRECT($J$4&amp;":"&amp;$J$5),"&lt;"&amp;V18)+COUNTIF($V$8:V18,V18))</f>
        <v>29</v>
      </c>
      <c r="L18" s="45">
        <f t="shared" si="79"/>
        <v>11</v>
      </c>
      <c r="M18" s="41" t="s">
        <v>44</v>
      </c>
      <c r="N18" s="42" t="s">
        <v>2</v>
      </c>
      <c r="O18" s="42">
        <v>74</v>
      </c>
      <c r="P18" s="42">
        <v>9</v>
      </c>
      <c r="Q18" s="42">
        <v>6</v>
      </c>
      <c r="R18" s="45"/>
      <c r="S18" s="45" t="str">
        <f t="shared" si="15"/>
        <v/>
      </c>
      <c r="T18" s="12" t="str">
        <f t="shared" si="16"/>
        <v/>
      </c>
      <c r="V18" s="12" t="str">
        <f t="shared" si="17"/>
        <v>Notts Forest</v>
      </c>
      <c r="W18" s="69">
        <f t="shared" ca="1" si="84"/>
        <v>11</v>
      </c>
      <c r="X18" s="71" t="str">
        <f t="shared" ca="1" si="80"/>
        <v>Chelsea</v>
      </c>
      <c r="Y18" s="71">
        <f t="shared" ca="1" si="18"/>
        <v>6</v>
      </c>
      <c r="Z18" s="69" t="str">
        <f t="shared" ca="1" si="19"/>
        <v>A</v>
      </c>
      <c r="AA18" s="69">
        <f t="shared" ca="1" si="20"/>
        <v>47</v>
      </c>
      <c r="AB18" s="66">
        <f t="shared" ca="1" si="21"/>
        <v>11</v>
      </c>
      <c r="AC18" s="66">
        <f t="shared" ca="1" si="22"/>
        <v>9</v>
      </c>
      <c r="AD18" s="66">
        <f t="shared" ca="1" si="23"/>
        <v>20</v>
      </c>
      <c r="AE18" s="70">
        <f t="shared" ca="1" si="81"/>
        <v>4.3363636363636369</v>
      </c>
      <c r="AF18" s="70">
        <f t="shared" ca="1" si="24"/>
        <v>4.7</v>
      </c>
      <c r="AG18" s="70">
        <f t="shared" ca="1" si="25"/>
        <v>4.5</v>
      </c>
      <c r="AH18" s="70">
        <f t="shared" ca="1" si="26"/>
        <v>42.300000000000004</v>
      </c>
      <c r="AI18" s="70">
        <f t="shared" ca="1" si="27"/>
        <v>47.7</v>
      </c>
      <c r="AJ18" s="70">
        <f t="shared" ca="1" si="28"/>
        <v>90</v>
      </c>
      <c r="AK18" s="67">
        <f ca="1">IF(X18="","",IF($X18=$X17,SUM(AI17:AI18)/SUM(AB17:AB18),0))</f>
        <v>0</v>
      </c>
      <c r="AL18" s="67">
        <f ca="1">IF(X18="","",IF($X18=$X17,SUM(AH17:AH18)/SUM(AC17:AC18),0))</f>
        <v>0</v>
      </c>
      <c r="AM18" s="67">
        <f ca="1">IF(X18="","",IF($X18=$X17,180/SUM(AB17:AC18),0))</f>
        <v>0</v>
      </c>
      <c r="AQ18" s="12">
        <f t="shared" ref="AQ18:AQ45" si="88">AQ17+1</f>
        <v>11</v>
      </c>
      <c r="AR18" s="12">
        <f ca="1">IF($AE18="",0,COUNTIF(INDIRECT(AE$4&amp;":"&amp;AE$5),"&gt;"&amp;AE18)+COUNTIF(AE$8:AE18,AE18))</f>
        <v>20</v>
      </c>
      <c r="AS18" s="12" t="str">
        <f t="shared" ca="1" si="29"/>
        <v>Chelsea</v>
      </c>
      <c r="AT18" s="12">
        <f t="shared" ca="1" si="30"/>
        <v>4.3363636363636369</v>
      </c>
      <c r="AV18" s="22">
        <f t="shared" ca="1" si="82"/>
        <v>11</v>
      </c>
      <c r="AW18" s="21" t="str">
        <f t="shared" ca="1" si="31"/>
        <v>Brentford</v>
      </c>
      <c r="AX18" s="24">
        <f t="shared" ca="1" si="32"/>
        <v>4.8</v>
      </c>
      <c r="AZ18" s="12">
        <f t="shared" ref="AZ18:AZ45" si="89">AZ17+1</f>
        <v>11</v>
      </c>
      <c r="BA18" s="12">
        <f ca="1">IF($AE18="",0,COUNTIF(INDIRECT(AF$4&amp;":"&amp;AF$5),"&gt;"&amp;AF18)+COUNTIF(AF$8:AF18,AF18))</f>
        <v>12</v>
      </c>
      <c r="BB18" s="12" t="str">
        <f t="shared" ca="1" si="33"/>
        <v>Chelsea</v>
      </c>
      <c r="BC18" s="12">
        <f t="shared" ca="1" si="34"/>
        <v>4.7</v>
      </c>
      <c r="BE18" s="22">
        <f t="shared" ca="1" si="35"/>
        <v>11</v>
      </c>
      <c r="BF18" s="21" t="str">
        <f t="shared" ca="1" si="36"/>
        <v>West Ham</v>
      </c>
      <c r="BG18" s="24">
        <f t="shared" ca="1" si="37"/>
        <v>4.7769230769230768</v>
      </c>
      <c r="BI18" s="12">
        <f t="shared" ref="BI18:BI32" si="90">BI17+1</f>
        <v>11</v>
      </c>
      <c r="BJ18" s="12">
        <f ca="1">IF($AE18="",0,COUNTIF(INDIRECT(AG$4&amp;":"&amp;AG$5),"&gt;"&amp;AG18)+COUNTIF(AG$8:AG18,AG18))</f>
        <v>9</v>
      </c>
      <c r="BK18" s="12" t="str">
        <f t="shared" ca="1" si="38"/>
        <v>Chelsea</v>
      </c>
      <c r="BL18" s="12">
        <f t="shared" ca="1" si="39"/>
        <v>4.5</v>
      </c>
      <c r="BN18" s="22">
        <f t="shared" ca="1" si="40"/>
        <v>11</v>
      </c>
      <c r="BO18" s="21" t="str">
        <f t="shared" ca="1" si="41"/>
        <v>Man Utd</v>
      </c>
      <c r="BP18" s="24">
        <f t="shared" ca="1" si="42"/>
        <v>4.5</v>
      </c>
      <c r="BW18" s="14">
        <v>11</v>
      </c>
      <c r="BX18" s="14">
        <f ca="1">IF($CO18="","",COUNTIF(INDIRECT(CA$4&amp;":"&amp;CA$5),"&gt;"&amp;CA18)+COUNTIF(CA$8:CA18,CA18))</f>
        <v>19</v>
      </c>
      <c r="BY18" s="14" t="str">
        <f t="shared" ca="1" si="43"/>
        <v>Luton</v>
      </c>
      <c r="BZ18" s="14">
        <f t="shared" ca="1" si="44"/>
        <v>2</v>
      </c>
      <c r="CA18" s="14">
        <f t="shared" ca="1" si="45"/>
        <v>2.25</v>
      </c>
      <c r="CB18" s="14" t="str">
        <f t="shared" ca="1" si="46"/>
        <v>X28</v>
      </c>
      <c r="CC18" s="14" t="str">
        <f t="shared" ca="1" si="47"/>
        <v>X29</v>
      </c>
      <c r="CD18" s="14" t="str">
        <f t="shared" ca="1" si="48"/>
        <v>AE28</v>
      </c>
      <c r="CE18" s="14" t="str">
        <f t="shared" ca="1" si="49"/>
        <v>AK29</v>
      </c>
      <c r="CF18" s="14">
        <f t="shared" ca="1" si="50"/>
        <v>30</v>
      </c>
      <c r="CG18" s="14">
        <f t="shared" ca="1" si="11"/>
        <v>31</v>
      </c>
      <c r="CH18" s="20">
        <f t="shared" ca="1" si="51"/>
        <v>11</v>
      </c>
      <c r="CI18" s="19" t="str">
        <f t="shared" ca="1" si="52"/>
        <v>Notts Forest</v>
      </c>
      <c r="CJ18" s="20">
        <f t="shared" ca="1" si="53"/>
        <v>2</v>
      </c>
      <c r="CK18" s="26">
        <f t="shared" ca="1" si="54"/>
        <v>3.8250000000000002</v>
      </c>
      <c r="CM18" s="14">
        <v>11</v>
      </c>
      <c r="CN18" s="14">
        <f ca="1">IF($CO18="","",COUNTIF(INDIRECT(CQ$4&amp;":"&amp;CQ$5),"&gt;"&amp;CQ18)+COUNTIF(CQ$8:CQ18,CQ18))</f>
        <v>1</v>
      </c>
      <c r="CO18" s="12" t="str">
        <f t="shared" ca="1" si="55"/>
        <v>Luton</v>
      </c>
      <c r="CP18" s="12">
        <f t="shared" ca="1" si="56"/>
        <v>2</v>
      </c>
      <c r="CQ18" s="12">
        <f t="shared" ca="1" si="57"/>
        <v>6.25</v>
      </c>
      <c r="CR18" s="12" t="str">
        <f t="shared" ca="1" si="58"/>
        <v>X28</v>
      </c>
      <c r="CS18" s="12" t="str">
        <f t="shared" ca="1" si="59"/>
        <v>X29</v>
      </c>
      <c r="CT18" s="12" t="str">
        <f t="shared" ca="1" si="60"/>
        <v>AF28</v>
      </c>
      <c r="CU18" s="12" t="str">
        <f t="shared" ca="1" si="61"/>
        <v>AL29</v>
      </c>
      <c r="CV18" s="14">
        <f t="shared" ca="1" si="62"/>
        <v>30</v>
      </c>
      <c r="CW18" s="12">
        <f t="shared" ca="1" si="12"/>
        <v>31</v>
      </c>
      <c r="CX18" s="20">
        <f t="shared" ca="1" si="83"/>
        <v>11</v>
      </c>
      <c r="CY18" s="19" t="str">
        <f t="shared" ca="1" si="63"/>
        <v>Man City</v>
      </c>
      <c r="CZ18" s="20">
        <f t="shared" ca="1" si="64"/>
        <v>2</v>
      </c>
      <c r="DA18" s="26">
        <f t="shared" ca="1" si="65"/>
        <v>3.6947368421052631</v>
      </c>
      <c r="DC18" s="12">
        <v>11</v>
      </c>
      <c r="DD18" s="12">
        <f ca="1">IF($CO18="","",COUNTIF(INDIRECT(DG$4&amp;":"&amp;DG$5),"&gt;"&amp;DG18)+COUNTIF(DG$8:DG18,DG18))</f>
        <v>13</v>
      </c>
      <c r="DE18" s="12" t="str">
        <f t="shared" ca="1" si="66"/>
        <v>Luton</v>
      </c>
      <c r="DF18" s="12">
        <f t="shared" ca="1" si="67"/>
        <v>2</v>
      </c>
      <c r="DG18" s="12">
        <f t="shared" ca="1" si="68"/>
        <v>3.75</v>
      </c>
      <c r="DH18" s="12" t="str">
        <f t="shared" ca="1" si="69"/>
        <v>X28</v>
      </c>
      <c r="DI18" s="12" t="str">
        <f t="shared" ca="1" si="70"/>
        <v>X29</v>
      </c>
      <c r="DJ18" s="12" t="str">
        <f t="shared" ca="1" si="71"/>
        <v>AG28</v>
      </c>
      <c r="DK18" s="12" t="str">
        <f t="shared" ca="1" si="72"/>
        <v>AM29</v>
      </c>
      <c r="DL18" s="12">
        <f t="shared" ca="1" si="73"/>
        <v>30</v>
      </c>
      <c r="DM18" s="12">
        <f t="shared" ca="1" si="13"/>
        <v>31</v>
      </c>
      <c r="DN18" s="20">
        <f t="shared" ca="1" si="74"/>
        <v>11</v>
      </c>
      <c r="DO18" s="19" t="str">
        <f t="shared" ca="1" si="75"/>
        <v>Everton</v>
      </c>
      <c r="DP18" s="20">
        <f t="shared" ca="1" si="76"/>
        <v>2</v>
      </c>
      <c r="DQ18" s="46">
        <f t="shared" ca="1" si="77"/>
        <v>3.8297872340425534</v>
      </c>
      <c r="DW18" s="86"/>
      <c r="DX18" s="86"/>
      <c r="DY18" s="86"/>
    </row>
    <row r="19" spans="2:129" x14ac:dyDescent="0.25">
      <c r="B19" s="25"/>
      <c r="C19" s="25" t="s">
        <v>32</v>
      </c>
      <c r="D19" s="25"/>
      <c r="E19" s="25"/>
      <c r="I19" s="43" t="str">
        <f t="shared" si="14"/>
        <v>i</v>
      </c>
      <c r="J19" s="43">
        <f t="shared" si="78"/>
        <v>12</v>
      </c>
      <c r="K19" s="44">
        <f ca="1">IF(M19="",0,COUNTIF(INDIRECT($J$4&amp;":"&amp;$J$5),"&lt;"&amp;V19)+COUNTIF($V$8:V19,V19))</f>
        <v>17</v>
      </c>
      <c r="L19" s="45">
        <f t="shared" si="79"/>
        <v>12</v>
      </c>
      <c r="M19" s="41" t="s">
        <v>48</v>
      </c>
      <c r="N19" s="42" t="s">
        <v>40</v>
      </c>
      <c r="O19" s="42">
        <v>51</v>
      </c>
      <c r="P19" s="42">
        <v>4</v>
      </c>
      <c r="Q19" s="42">
        <v>17</v>
      </c>
      <c r="R19" s="45"/>
      <c r="S19" s="45" t="str">
        <f t="shared" si="15"/>
        <v/>
      </c>
      <c r="T19" s="12" t="str">
        <f t="shared" si="16"/>
        <v/>
      </c>
      <c r="V19" s="12" t="str">
        <f t="shared" si="17"/>
        <v>Fulham</v>
      </c>
      <c r="W19" s="69">
        <f t="shared" ca="1" si="84"/>
        <v>12</v>
      </c>
      <c r="X19" s="71" t="str">
        <f t="shared" ca="1" si="80"/>
        <v>Chelsea</v>
      </c>
      <c r="Y19" s="71">
        <f t="shared" ca="1" si="18"/>
        <v>35</v>
      </c>
      <c r="Z19" s="69" t="str">
        <f t="shared" ca="1" si="19"/>
        <v>H</v>
      </c>
      <c r="AA19" s="69">
        <f t="shared" ca="1" si="20"/>
        <v>29</v>
      </c>
      <c r="AB19" s="66">
        <f t="shared" ca="1" si="21"/>
        <v>13</v>
      </c>
      <c r="AC19" s="66">
        <f t="shared" ca="1" si="22"/>
        <v>14</v>
      </c>
      <c r="AD19" s="66">
        <f t="shared" ca="1" si="23"/>
        <v>27</v>
      </c>
      <c r="AE19" s="70">
        <f t="shared" ca="1" si="81"/>
        <v>4.9153846153846157</v>
      </c>
      <c r="AF19" s="70">
        <f t="shared" ca="1" si="24"/>
        <v>1.8642857142857143</v>
      </c>
      <c r="AG19" s="70">
        <f t="shared" ca="1" si="25"/>
        <v>3.3333333333333335</v>
      </c>
      <c r="AH19" s="70">
        <f t="shared" ca="1" si="26"/>
        <v>26.1</v>
      </c>
      <c r="AI19" s="70">
        <f t="shared" ca="1" si="27"/>
        <v>63.9</v>
      </c>
      <c r="AJ19" s="70">
        <f t="shared" ca="1" si="28"/>
        <v>90</v>
      </c>
      <c r="AK19" s="67">
        <f ca="1">IF(X19="","",IF(SUM(AB18:AB19)=0,0,IF($X19=$X18,SUM(AI18:AI19)/SUM(AB18:AB19),0)))</f>
        <v>4.6499999999999995</v>
      </c>
      <c r="AL19" s="67">
        <f ca="1">IF(X19="","",IF(SUM(AC18:AC19)=0,0,IF($X19=$X18,SUM(AH18:AH19)/SUM(AC18:AC19),0)))</f>
        <v>2.973913043478261</v>
      </c>
      <c r="AM19" s="67">
        <f ca="1">IF(X19="","",IF(SUM(AB18:AC19)=0,0,IF($X19=$X18,SUM(AJ18:AJ19)/SUM(AB18:AC19),0)))</f>
        <v>3.8297872340425534</v>
      </c>
      <c r="AQ19" s="12">
        <f t="shared" si="88"/>
        <v>12</v>
      </c>
      <c r="AR19" s="12">
        <f ca="1">IF($AE19="",0,COUNTIF(INDIRECT(AE$4&amp;":"&amp;AE$5),"&gt;"&amp;AE19)+COUNTIF(AE$8:AE19,AE19))</f>
        <v>9</v>
      </c>
      <c r="AS19" s="12" t="str">
        <f t="shared" ca="1" si="29"/>
        <v>Chelsea</v>
      </c>
      <c r="AT19" s="12">
        <f t="shared" ca="1" si="30"/>
        <v>4.9153846153846157</v>
      </c>
      <c r="AV19" s="22">
        <f t="shared" ca="1" si="82"/>
        <v>12</v>
      </c>
      <c r="AW19" s="21" t="str">
        <f t="shared" ca="1" si="31"/>
        <v>West Ham</v>
      </c>
      <c r="AX19" s="24">
        <f t="shared" ca="1" si="32"/>
        <v>4.7250000000000005</v>
      </c>
      <c r="AZ19" s="12">
        <f t="shared" si="89"/>
        <v>12</v>
      </c>
      <c r="BA19" s="12">
        <f ca="1">IF($AE19="",0,COUNTIF(INDIRECT(AF$4&amp;":"&amp;AF$5),"&gt;"&amp;AF19)+COUNTIF(AF$8:AF19,AF19))</f>
        <v>36</v>
      </c>
      <c r="BB19" s="12" t="str">
        <f t="shared" ca="1" si="33"/>
        <v>Chelsea</v>
      </c>
      <c r="BC19" s="12">
        <f t="shared" ca="1" si="34"/>
        <v>1.8642857142857143</v>
      </c>
      <c r="BE19" s="22">
        <f t="shared" ca="1" si="35"/>
        <v>12</v>
      </c>
      <c r="BF19" s="21" t="str">
        <f t="shared" ca="1" si="36"/>
        <v>Chelsea</v>
      </c>
      <c r="BG19" s="24">
        <f t="shared" ca="1" si="37"/>
        <v>4.7</v>
      </c>
      <c r="BI19" s="12">
        <f t="shared" si="90"/>
        <v>12</v>
      </c>
      <c r="BJ19" s="12">
        <f ca="1">IF($AE19="",0,COUNTIF(INDIRECT(AG$4&amp;":"&amp;AG$5),"&gt;"&amp;AG19)+COUNTIF(AG$8:AG19,AG19))</f>
        <v>31</v>
      </c>
      <c r="BK19" s="12" t="str">
        <f t="shared" ca="1" si="38"/>
        <v>Chelsea</v>
      </c>
      <c r="BL19" s="12">
        <f t="shared" ca="1" si="39"/>
        <v>3.3333333333333335</v>
      </c>
      <c r="BN19" s="22">
        <f t="shared" ca="1" si="40"/>
        <v>12</v>
      </c>
      <c r="BO19" s="21" t="str">
        <f t="shared" ca="1" si="41"/>
        <v>Fulham</v>
      </c>
      <c r="BP19" s="24">
        <f t="shared" ca="1" si="42"/>
        <v>4.2857142857142856</v>
      </c>
      <c r="BW19" s="14">
        <v>12</v>
      </c>
      <c r="BX19" s="14">
        <f ca="1">IF($CO19="","",COUNTIF(INDIRECT(CA$4&amp;":"&amp;CA$5),"&gt;"&amp;CA19)+COUNTIF(CA$8:CA19,CA19))</f>
        <v>8</v>
      </c>
      <c r="BY19" s="14" t="str">
        <f t="shared" ca="1" si="43"/>
        <v>Man City</v>
      </c>
      <c r="BZ19" s="14">
        <f t="shared" ca="1" si="44"/>
        <v>2</v>
      </c>
      <c r="CA19" s="14">
        <f t="shared" ca="1" si="45"/>
        <v>4.2230769230769232</v>
      </c>
      <c r="CB19" s="14" t="str">
        <f t="shared" ca="1" si="46"/>
        <v>X30</v>
      </c>
      <c r="CC19" s="14" t="str">
        <f t="shared" ca="1" si="47"/>
        <v>X31</v>
      </c>
      <c r="CD19" s="14" t="str">
        <f t="shared" ca="1" si="48"/>
        <v>AE30</v>
      </c>
      <c r="CE19" s="14" t="str">
        <f t="shared" ca="1" si="49"/>
        <v>AK31</v>
      </c>
      <c r="CF19" s="14">
        <f t="shared" ca="1" si="50"/>
        <v>32</v>
      </c>
      <c r="CG19" s="14">
        <f t="shared" ca="1" si="11"/>
        <v>33</v>
      </c>
      <c r="CH19" s="20">
        <f t="shared" ca="1" si="51"/>
        <v>12</v>
      </c>
      <c r="CI19" s="19" t="str">
        <f t="shared" ca="1" si="52"/>
        <v>Crystal Palace</v>
      </c>
      <c r="CJ19" s="20">
        <f t="shared" ca="1" si="53"/>
        <v>2</v>
      </c>
      <c r="CK19" s="26">
        <f t="shared" ca="1" si="54"/>
        <v>3.7285714285714286</v>
      </c>
      <c r="CM19" s="14">
        <v>12</v>
      </c>
      <c r="CN19" s="14">
        <f ca="1">IF($CO19="","",COUNTIF(INDIRECT(CQ$4&amp;":"&amp;CQ$5),"&gt;"&amp;CQ19)+COUNTIF(CQ$8:CQ19,CQ19))</f>
        <v>11</v>
      </c>
      <c r="CO19" s="12" t="str">
        <f t="shared" ca="1" si="55"/>
        <v>Man City</v>
      </c>
      <c r="CP19" s="12">
        <f t="shared" ca="1" si="56"/>
        <v>2</v>
      </c>
      <c r="CQ19" s="12">
        <f t="shared" ca="1" si="57"/>
        <v>3.6947368421052631</v>
      </c>
      <c r="CR19" s="12" t="str">
        <f t="shared" ca="1" si="58"/>
        <v>X30</v>
      </c>
      <c r="CS19" s="12" t="str">
        <f t="shared" ca="1" si="59"/>
        <v>X31</v>
      </c>
      <c r="CT19" s="12" t="str">
        <f t="shared" ca="1" si="60"/>
        <v>AF30</v>
      </c>
      <c r="CU19" s="12" t="str">
        <f t="shared" ca="1" si="61"/>
        <v>AL31</v>
      </c>
      <c r="CV19" s="14">
        <f t="shared" ca="1" si="62"/>
        <v>32</v>
      </c>
      <c r="CW19" s="12">
        <f t="shared" ca="1" si="12"/>
        <v>33</v>
      </c>
      <c r="CX19" s="20">
        <f t="shared" ca="1" si="83"/>
        <v>12</v>
      </c>
      <c r="CY19" s="19" t="str">
        <f t="shared" ca="1" si="63"/>
        <v>Bournemouth</v>
      </c>
      <c r="CZ19" s="20">
        <f t="shared" ca="1" si="64"/>
        <v>2</v>
      </c>
      <c r="DA19" s="26">
        <f t="shared" ca="1" si="65"/>
        <v>3.693103448275862</v>
      </c>
      <c r="DC19" s="12">
        <v>12</v>
      </c>
      <c r="DD19" s="12">
        <f ca="1">IF($CO19="","",COUNTIF(INDIRECT(DG$4&amp;":"&amp;DG$5),"&gt;"&amp;DG19)+COUNTIF(DG$8:DG19,DG19))</f>
        <v>7</v>
      </c>
      <c r="DE19" s="12" t="str">
        <f t="shared" ca="1" si="66"/>
        <v>Man City</v>
      </c>
      <c r="DF19" s="12">
        <f t="shared" ca="1" si="67"/>
        <v>2</v>
      </c>
      <c r="DG19" s="12">
        <f t="shared" ca="1" si="68"/>
        <v>4</v>
      </c>
      <c r="DH19" s="12" t="str">
        <f t="shared" ca="1" si="69"/>
        <v>X30</v>
      </c>
      <c r="DI19" s="12" t="str">
        <f t="shared" ca="1" si="70"/>
        <v>X31</v>
      </c>
      <c r="DJ19" s="12" t="str">
        <f t="shared" ca="1" si="71"/>
        <v>AG30</v>
      </c>
      <c r="DK19" s="12" t="str">
        <f t="shared" ca="1" si="72"/>
        <v>AM31</v>
      </c>
      <c r="DL19" s="12">
        <f t="shared" ca="1" si="73"/>
        <v>32</v>
      </c>
      <c r="DM19" s="12">
        <f t="shared" ca="1" si="13"/>
        <v>33</v>
      </c>
      <c r="DN19" s="20">
        <f t="shared" ca="1" si="74"/>
        <v>12</v>
      </c>
      <c r="DO19" s="19" t="str">
        <f t="shared" ca="1" si="75"/>
        <v>Bournemouth</v>
      </c>
      <c r="DP19" s="20">
        <f t="shared" ca="1" si="76"/>
        <v>2</v>
      </c>
      <c r="DQ19" s="46">
        <f t="shared" ca="1" si="77"/>
        <v>3.75</v>
      </c>
      <c r="DW19" s="86"/>
      <c r="DX19" s="86"/>
      <c r="DY19" s="86"/>
    </row>
    <row r="20" spans="2:129" x14ac:dyDescent="0.25">
      <c r="B20" s="25"/>
      <c r="C20" s="25" t="s">
        <v>69</v>
      </c>
      <c r="D20" s="25"/>
      <c r="E20" s="25"/>
      <c r="I20" s="43" t="str">
        <f t="shared" si="14"/>
        <v>i</v>
      </c>
      <c r="J20" s="43">
        <f t="shared" si="78"/>
        <v>13</v>
      </c>
      <c r="K20" s="44">
        <f ca="1">IF(M20="",0,COUNTIF(INDIRECT($J$4&amp;":"&amp;$J$5),"&lt;"&amp;V20)+COUNTIF($V$8:V20,V20))</f>
        <v>33</v>
      </c>
      <c r="L20" s="45">
        <f t="shared" si="79"/>
        <v>13</v>
      </c>
      <c r="M20" s="41" t="s">
        <v>51</v>
      </c>
      <c r="N20" s="42" t="s">
        <v>2</v>
      </c>
      <c r="O20" s="42">
        <v>38</v>
      </c>
      <c r="P20" s="42">
        <v>13</v>
      </c>
      <c r="Q20" s="42">
        <v>11</v>
      </c>
      <c r="R20" s="45"/>
      <c r="S20" s="45" t="str">
        <f t="shared" si="15"/>
        <v/>
      </c>
      <c r="T20" s="12" t="str">
        <f t="shared" si="16"/>
        <v/>
      </c>
      <c r="V20" s="12" t="str">
        <f t="shared" si="17"/>
        <v>Tottenham</v>
      </c>
      <c r="W20" s="69">
        <f t="shared" ca="1" si="84"/>
        <v>13</v>
      </c>
      <c r="X20" s="71" t="str">
        <f t="shared" ca="1" si="80"/>
        <v>Crystal Palace</v>
      </c>
      <c r="Y20" s="71">
        <f t="shared" ca="1" si="18"/>
        <v>5</v>
      </c>
      <c r="Z20" s="69" t="str">
        <f t="shared" ca="1" si="19"/>
        <v>H</v>
      </c>
      <c r="AA20" s="69">
        <f t="shared" ca="1" si="20"/>
        <v>67</v>
      </c>
      <c r="AB20" s="66">
        <f t="shared" ca="1" si="21"/>
        <v>13</v>
      </c>
      <c r="AC20" s="66">
        <f t="shared" ca="1" si="22"/>
        <v>9</v>
      </c>
      <c r="AD20" s="66">
        <f t="shared" ca="1" si="23"/>
        <v>22</v>
      </c>
      <c r="AE20" s="70">
        <f t="shared" ca="1" si="81"/>
        <v>2.2846153846153845</v>
      </c>
      <c r="AF20" s="70">
        <f t="shared" ca="1" si="24"/>
        <v>6.7</v>
      </c>
      <c r="AG20" s="70">
        <f t="shared" ca="1" si="25"/>
        <v>4.0909090909090908</v>
      </c>
      <c r="AH20" s="70">
        <f t="shared" ca="1" si="26"/>
        <v>60.300000000000004</v>
      </c>
      <c r="AI20" s="70">
        <f t="shared" ca="1" si="27"/>
        <v>29.7</v>
      </c>
      <c r="AJ20" s="70">
        <f t="shared" ca="1" si="28"/>
        <v>90</v>
      </c>
      <c r="AK20" s="67">
        <f ca="1">IF(X20="","",IF($X20=$X19,SUM(AI19:AI20)/SUM(AB19:AB20),0))</f>
        <v>0</v>
      </c>
      <c r="AL20" s="67">
        <f ca="1">IF(X20="","",IF($X20=$X19,SUM(AH19:AH20)/SUM(AC19:AC20),0))</f>
        <v>0</v>
      </c>
      <c r="AM20" s="67">
        <f ca="1">IF(X20="","",IF($X20=$X19,180/SUM(AB19:AC20),0))</f>
        <v>0</v>
      </c>
      <c r="AQ20" s="12">
        <f t="shared" si="88"/>
        <v>13</v>
      </c>
      <c r="AR20" s="12">
        <f ca="1">IF($AE20="",0,COUNTIF(INDIRECT(AE$4&amp;":"&amp;AE$5),"&gt;"&amp;AE20)+COUNTIF(AE$8:AE20,AE20))</f>
        <v>34</v>
      </c>
      <c r="AS20" s="12" t="str">
        <f t="shared" ca="1" si="29"/>
        <v>Crystal Palace</v>
      </c>
      <c r="AT20" s="12">
        <f t="shared" ca="1" si="30"/>
        <v>2.2846153846153845</v>
      </c>
      <c r="AV20" s="22">
        <f t="shared" ca="1" si="82"/>
        <v>13</v>
      </c>
      <c r="AW20" s="21" t="str">
        <f t="shared" ca="1" si="31"/>
        <v>Man City</v>
      </c>
      <c r="AX20" s="24">
        <f t="shared" ca="1" si="32"/>
        <v>4.7076923076923078</v>
      </c>
      <c r="AZ20" s="12">
        <f t="shared" si="89"/>
        <v>13</v>
      </c>
      <c r="BA20" s="12">
        <f ca="1">IF($AE20="",0,COUNTIF(INDIRECT(AF$4&amp;":"&amp;AF$5),"&gt;"&amp;AF20)+COUNTIF(AF$8:AF20,AF20))</f>
        <v>3</v>
      </c>
      <c r="BB20" s="12" t="str">
        <f t="shared" ca="1" si="33"/>
        <v>Crystal Palace</v>
      </c>
      <c r="BC20" s="12">
        <f t="shared" ca="1" si="34"/>
        <v>6.7</v>
      </c>
      <c r="BE20" s="22">
        <f t="shared" ca="1" si="35"/>
        <v>13</v>
      </c>
      <c r="BF20" s="21" t="str">
        <f t="shared" ca="1" si="36"/>
        <v>Newcastle</v>
      </c>
      <c r="BG20" s="24">
        <f t="shared" ca="1" si="37"/>
        <v>4.5750000000000002</v>
      </c>
      <c r="BI20" s="12">
        <f t="shared" si="90"/>
        <v>13</v>
      </c>
      <c r="BJ20" s="12">
        <f ca="1">IF($AE20="",0,COUNTIF(INDIRECT(AG$4&amp;":"&amp;AG$5),"&gt;"&amp;AG20)+COUNTIF(AG$8:AG20,AG20))</f>
        <v>15</v>
      </c>
      <c r="BK20" s="12" t="str">
        <f t="shared" ca="1" si="38"/>
        <v>Crystal Palace</v>
      </c>
      <c r="BL20" s="12">
        <f t="shared" ca="1" si="39"/>
        <v>4.0909090909090908</v>
      </c>
      <c r="BN20" s="22">
        <f t="shared" ca="1" si="40"/>
        <v>13</v>
      </c>
      <c r="BO20" s="21" t="str">
        <f t="shared" ca="1" si="41"/>
        <v>Luton</v>
      </c>
      <c r="BP20" s="24">
        <f t="shared" ca="1" si="42"/>
        <v>4.2857142857142856</v>
      </c>
      <c r="BW20" s="14">
        <v>13</v>
      </c>
      <c r="BX20" s="14">
        <f ca="1">IF($CO20="","",COUNTIF(INDIRECT(CA$4&amp;":"&amp;CA$5),"&gt;"&amp;CA20)+COUNTIF(CA$8:CA20,CA20))</f>
        <v>7</v>
      </c>
      <c r="BY20" s="14" t="str">
        <f t="shared" ca="1" si="43"/>
        <v>Man Utd</v>
      </c>
      <c r="BZ20" s="14">
        <f t="shared" ca="1" si="44"/>
        <v>2</v>
      </c>
      <c r="CA20" s="14">
        <f t="shared" ca="1" si="45"/>
        <v>4.2631578947368425</v>
      </c>
      <c r="CB20" s="14" t="str">
        <f t="shared" ca="1" si="46"/>
        <v>X32</v>
      </c>
      <c r="CC20" s="14" t="str">
        <f t="shared" ca="1" si="47"/>
        <v>X33</v>
      </c>
      <c r="CD20" s="14" t="str">
        <f t="shared" ca="1" si="48"/>
        <v>AE32</v>
      </c>
      <c r="CE20" s="14" t="str">
        <f t="shared" ca="1" si="49"/>
        <v>AK33</v>
      </c>
      <c r="CF20" s="14">
        <f t="shared" ca="1" si="50"/>
        <v>34</v>
      </c>
      <c r="CG20" s="14">
        <f t="shared" ca="1" si="11"/>
        <v>35</v>
      </c>
      <c r="CH20" s="20">
        <f t="shared" ca="1" si="51"/>
        <v>13</v>
      </c>
      <c r="CI20" s="19" t="str">
        <f t="shared" ca="1" si="52"/>
        <v>Brighton</v>
      </c>
      <c r="CJ20" s="20">
        <f t="shared" ca="1" si="53"/>
        <v>2</v>
      </c>
      <c r="CK20" s="26">
        <f t="shared" ca="1" si="54"/>
        <v>3.5068965517241382</v>
      </c>
      <c r="CM20" s="14">
        <v>13</v>
      </c>
      <c r="CN20" s="14">
        <f ca="1">IF($CO20="","",COUNTIF(INDIRECT(CQ$4&amp;":"&amp;CQ$5),"&gt;"&amp;CQ20)+COUNTIF(CQ$8:CQ20,CQ20))</f>
        <v>2</v>
      </c>
      <c r="CO20" s="12" t="str">
        <f t="shared" ca="1" si="55"/>
        <v>Man Utd</v>
      </c>
      <c r="CP20" s="12">
        <f t="shared" ca="1" si="56"/>
        <v>2</v>
      </c>
      <c r="CQ20" s="12">
        <f t="shared" ca="1" si="57"/>
        <v>5.8235294117647056</v>
      </c>
      <c r="CR20" s="12" t="str">
        <f t="shared" ca="1" si="58"/>
        <v>X32</v>
      </c>
      <c r="CS20" s="12" t="str">
        <f t="shared" ca="1" si="59"/>
        <v>X33</v>
      </c>
      <c r="CT20" s="12" t="str">
        <f t="shared" ca="1" si="60"/>
        <v>AF32</v>
      </c>
      <c r="CU20" s="12" t="str">
        <f t="shared" ca="1" si="61"/>
        <v>AL33</v>
      </c>
      <c r="CV20" s="14">
        <f t="shared" ca="1" si="62"/>
        <v>34</v>
      </c>
      <c r="CW20" s="12">
        <f t="shared" ca="1" si="12"/>
        <v>35</v>
      </c>
      <c r="CX20" s="20">
        <f t="shared" ca="1" si="83"/>
        <v>13</v>
      </c>
      <c r="CY20" s="19" t="str">
        <f t="shared" ca="1" si="63"/>
        <v>Arsenal</v>
      </c>
      <c r="CZ20" s="20">
        <f t="shared" ca="1" si="64"/>
        <v>2</v>
      </c>
      <c r="DA20" s="26">
        <f t="shared" ca="1" si="65"/>
        <v>3.4434782608695653</v>
      </c>
      <c r="DC20" s="12">
        <v>13</v>
      </c>
      <c r="DD20" s="12">
        <f ca="1">IF($CO20="","",COUNTIF(INDIRECT(DG$4&amp;":"&amp;DG$5),"&gt;"&amp;DG20)+COUNTIF(DG$8:DG20,DG20))</f>
        <v>1</v>
      </c>
      <c r="DE20" s="12" t="str">
        <f t="shared" ca="1" si="66"/>
        <v>Man Utd</v>
      </c>
      <c r="DF20" s="12">
        <f t="shared" ca="1" si="67"/>
        <v>2</v>
      </c>
      <c r="DG20" s="12">
        <f t="shared" ca="1" si="68"/>
        <v>5</v>
      </c>
      <c r="DH20" s="12" t="str">
        <f t="shared" ca="1" si="69"/>
        <v>X32</v>
      </c>
      <c r="DI20" s="12" t="str">
        <f t="shared" ca="1" si="70"/>
        <v>X33</v>
      </c>
      <c r="DJ20" s="12" t="str">
        <f t="shared" ca="1" si="71"/>
        <v>AG32</v>
      </c>
      <c r="DK20" s="12" t="str">
        <f t="shared" ca="1" si="72"/>
        <v>AM33</v>
      </c>
      <c r="DL20" s="12">
        <f t="shared" ca="1" si="73"/>
        <v>34</v>
      </c>
      <c r="DM20" s="12">
        <f t="shared" ca="1" si="13"/>
        <v>35</v>
      </c>
      <c r="DN20" s="20">
        <f t="shared" ca="1" si="74"/>
        <v>13</v>
      </c>
      <c r="DO20" s="19" t="str">
        <f t="shared" ca="1" si="75"/>
        <v>Luton</v>
      </c>
      <c r="DP20" s="20">
        <f t="shared" ca="1" si="76"/>
        <v>2</v>
      </c>
      <c r="DQ20" s="46">
        <f t="shared" ca="1" si="77"/>
        <v>3.75</v>
      </c>
      <c r="DW20" s="86"/>
      <c r="DX20" s="86"/>
      <c r="DY20" s="86"/>
    </row>
    <row r="21" spans="2:129" x14ac:dyDescent="0.25">
      <c r="B21" s="25"/>
      <c r="C21" s="25" t="s">
        <v>35</v>
      </c>
      <c r="D21" s="25"/>
      <c r="E21" s="25"/>
      <c r="I21" s="43" t="str">
        <f t="shared" si="14"/>
        <v>i</v>
      </c>
      <c r="J21" s="43">
        <f t="shared" si="78"/>
        <v>14</v>
      </c>
      <c r="K21" s="44">
        <f ca="1">IF(M21="",0,COUNTIF(INDIRECT($J$4&amp;":"&amp;$J$5),"&lt;"&amp;V21)+COUNTIF($V$8:V21,V21))</f>
        <v>3</v>
      </c>
      <c r="L21" s="45">
        <f>IF(AND(S21="",T21=""),J21,"")</f>
        <v>14</v>
      </c>
      <c r="M21" s="41" t="s">
        <v>62</v>
      </c>
      <c r="N21" s="42" t="s">
        <v>2</v>
      </c>
      <c r="O21" s="42">
        <v>63</v>
      </c>
      <c r="P21" s="42">
        <v>11</v>
      </c>
      <c r="Q21" s="42">
        <v>15</v>
      </c>
      <c r="R21" s="45"/>
      <c r="S21" s="45" t="str">
        <f t="shared" si="15"/>
        <v/>
      </c>
      <c r="T21" s="12" t="str">
        <f t="shared" si="16"/>
        <v/>
      </c>
      <c r="V21" s="12" t="str">
        <f t="shared" si="17"/>
        <v>Bournemouth</v>
      </c>
      <c r="W21" s="69">
        <f t="shared" ca="1" si="84"/>
        <v>14</v>
      </c>
      <c r="X21" s="71" t="str">
        <f t="shared" ca="1" si="80"/>
        <v>Crystal Palace</v>
      </c>
      <c r="Y21" s="71">
        <f t="shared" ca="1" si="18"/>
        <v>38</v>
      </c>
      <c r="Z21" s="69" t="str">
        <f t="shared" ca="1" si="19"/>
        <v>A</v>
      </c>
      <c r="AA21" s="69">
        <f t="shared" ca="1" si="20"/>
        <v>46</v>
      </c>
      <c r="AB21" s="66">
        <f t="shared" ca="1" si="21"/>
        <v>8</v>
      </c>
      <c r="AC21" s="66">
        <f t="shared" ca="1" si="22"/>
        <v>10</v>
      </c>
      <c r="AD21" s="66">
        <f t="shared" ca="1" si="23"/>
        <v>18</v>
      </c>
      <c r="AE21" s="70">
        <f t="shared" ca="1" si="81"/>
        <v>6.0750000000000002</v>
      </c>
      <c r="AF21" s="70">
        <f t="shared" ca="1" si="24"/>
        <v>4.1399999999999997</v>
      </c>
      <c r="AG21" s="70">
        <f t="shared" ca="1" si="25"/>
        <v>5</v>
      </c>
      <c r="AH21" s="70">
        <f t="shared" ca="1" si="26"/>
        <v>41.4</v>
      </c>
      <c r="AI21" s="70">
        <f t="shared" ca="1" si="27"/>
        <v>48.6</v>
      </c>
      <c r="AJ21" s="70">
        <f t="shared" ca="1" si="28"/>
        <v>90</v>
      </c>
      <c r="AK21" s="67">
        <f ca="1">IF(X21="","",IF(SUM(AB20:AB21)=0,0,IF($X21=$X20,SUM(AI20:AI21)/SUM(AB20:AB21),0)))</f>
        <v>3.7285714285714286</v>
      </c>
      <c r="AL21" s="67">
        <f ca="1">IF(X21="","",IF(SUM(AC20:AC21)=0,0,IF($X21=$X20,SUM(AH20:AH21)/SUM(AC20:AC21),0)))</f>
        <v>5.3526315789473689</v>
      </c>
      <c r="AM21" s="67">
        <f ca="1">IF(X21="","",IF(SUM(AB20:AC21)=0,0,IF($X21=$X20,SUM(AJ20:AJ21)/SUM(AB20:AC21),0)))</f>
        <v>4.5</v>
      </c>
      <c r="AQ21" s="12">
        <f t="shared" si="88"/>
        <v>14</v>
      </c>
      <c r="AR21" s="12">
        <f ca="1">IF($AE21="",0,COUNTIF(INDIRECT(AE$4&amp;":"&amp;AE$5),"&gt;"&amp;AE21)+COUNTIF(AE$8:AE21,AE21))</f>
        <v>5</v>
      </c>
      <c r="AS21" s="12" t="str">
        <f t="shared" ca="1" si="29"/>
        <v>Crystal Palace</v>
      </c>
      <c r="AT21" s="12">
        <f t="shared" ca="1" si="30"/>
        <v>6.0750000000000002</v>
      </c>
      <c r="AV21" s="22">
        <f t="shared" ca="1" si="82"/>
        <v>14</v>
      </c>
      <c r="AW21" s="21" t="str">
        <f t="shared" ca="1" si="31"/>
        <v>Brighton</v>
      </c>
      <c r="AX21" s="24">
        <f t="shared" ca="1" si="32"/>
        <v>4.6800000000000006</v>
      </c>
      <c r="AZ21" s="12">
        <f t="shared" si="89"/>
        <v>14</v>
      </c>
      <c r="BA21" s="12">
        <f ca="1">IF($AE21="",0,COUNTIF(INDIRECT(AF$4&amp;":"&amp;AF$5),"&gt;"&amp;AF21)+COUNTIF(AF$8:AF21,AF21))</f>
        <v>17</v>
      </c>
      <c r="BB21" s="12" t="str">
        <f t="shared" ca="1" si="33"/>
        <v>Crystal Palace</v>
      </c>
      <c r="BC21" s="12">
        <f t="shared" ca="1" si="34"/>
        <v>4.1399999999999997</v>
      </c>
      <c r="BE21" s="22">
        <f t="shared" ca="1" si="35"/>
        <v>14</v>
      </c>
      <c r="BF21" s="21" t="str">
        <f t="shared" ca="1" si="36"/>
        <v>Everton</v>
      </c>
      <c r="BG21" s="24">
        <f t="shared" ca="1" si="37"/>
        <v>4.5</v>
      </c>
      <c r="BI21" s="12">
        <f t="shared" si="90"/>
        <v>14</v>
      </c>
      <c r="BJ21" s="12">
        <f ca="1">IF($AE21="",0,COUNTIF(INDIRECT(AG$4&amp;":"&amp;AG$5),"&gt;"&amp;AG21)+COUNTIF(AG$8:AG21,AG21))</f>
        <v>5</v>
      </c>
      <c r="BK21" s="12" t="str">
        <f t="shared" ca="1" si="38"/>
        <v>Crystal Palace</v>
      </c>
      <c r="BL21" s="12">
        <f t="shared" ca="1" si="39"/>
        <v>5</v>
      </c>
      <c r="BN21" s="22">
        <f t="shared" ca="1" si="40"/>
        <v>14</v>
      </c>
      <c r="BO21" s="21" t="str">
        <f t="shared" ca="1" si="41"/>
        <v>Bournemouth</v>
      </c>
      <c r="BP21" s="24">
        <f t="shared" ca="1" si="42"/>
        <v>4.0909090909090908</v>
      </c>
      <c r="BW21" s="14">
        <v>14</v>
      </c>
      <c r="BX21" s="14">
        <f ca="1">IF($CO21="","",COUNTIF(INDIRECT(CA$4&amp;":"&amp;CA$5),"&gt;"&amp;CA21)+COUNTIF(CA$8:CA21,CA21))</f>
        <v>18</v>
      </c>
      <c r="BY21" s="14" t="str">
        <f t="shared" ca="1" si="43"/>
        <v>Newcastle</v>
      </c>
      <c r="BZ21" s="14">
        <f t="shared" ca="1" si="44"/>
        <v>2</v>
      </c>
      <c r="CA21" s="14">
        <f t="shared" ca="1" si="45"/>
        <v>2.6709677419354843</v>
      </c>
      <c r="CB21" s="14" t="str">
        <f t="shared" ca="1" si="46"/>
        <v>X34</v>
      </c>
      <c r="CC21" s="14" t="str">
        <f t="shared" ca="1" si="47"/>
        <v>X35</v>
      </c>
      <c r="CD21" s="14" t="str">
        <f t="shared" ca="1" si="48"/>
        <v>AE34</v>
      </c>
      <c r="CE21" s="14" t="str">
        <f t="shared" ca="1" si="49"/>
        <v>AK35</v>
      </c>
      <c r="CF21" s="14">
        <f t="shared" ca="1" si="50"/>
        <v>36</v>
      </c>
      <c r="CG21" s="14">
        <f t="shared" ca="1" si="11"/>
        <v>37</v>
      </c>
      <c r="CH21" s="20">
        <f t="shared" ca="1" si="51"/>
        <v>14</v>
      </c>
      <c r="CI21" s="19" t="str">
        <f t="shared" ca="1" si="52"/>
        <v>West Ham</v>
      </c>
      <c r="CJ21" s="20">
        <f t="shared" ca="1" si="53"/>
        <v>2</v>
      </c>
      <c r="CK21" s="26">
        <f t="shared" ca="1" si="54"/>
        <v>3.2850000000000001</v>
      </c>
      <c r="CM21" s="14">
        <v>14</v>
      </c>
      <c r="CN21" s="14">
        <f ca="1">IF($CO21="","",COUNTIF(INDIRECT(CQ$4&amp;":"&amp;CQ$5),"&gt;"&amp;CQ21)+COUNTIF(CQ$8:CQ21,CQ21))</f>
        <v>9</v>
      </c>
      <c r="CO21" s="12" t="str">
        <f t="shared" ca="1" si="55"/>
        <v>Newcastle</v>
      </c>
      <c r="CP21" s="12">
        <f t="shared" ca="1" si="56"/>
        <v>2</v>
      </c>
      <c r="CQ21" s="12">
        <f t="shared" ca="1" si="57"/>
        <v>4.05</v>
      </c>
      <c r="CR21" s="12" t="str">
        <f t="shared" ca="1" si="58"/>
        <v>X34</v>
      </c>
      <c r="CS21" s="12" t="str">
        <f t="shared" ca="1" si="59"/>
        <v>X35</v>
      </c>
      <c r="CT21" s="12" t="str">
        <f t="shared" ca="1" si="60"/>
        <v>AF34</v>
      </c>
      <c r="CU21" s="12" t="str">
        <f t="shared" ca="1" si="61"/>
        <v>AL35</v>
      </c>
      <c r="CV21" s="14">
        <f t="shared" ca="1" si="62"/>
        <v>36</v>
      </c>
      <c r="CW21" s="12">
        <f t="shared" ca="1" si="12"/>
        <v>37</v>
      </c>
      <c r="CX21" s="20">
        <f t="shared" ca="1" si="83"/>
        <v>14</v>
      </c>
      <c r="CY21" s="19" t="str">
        <f t="shared" ca="1" si="63"/>
        <v>Fulham</v>
      </c>
      <c r="CZ21" s="20">
        <f t="shared" ca="1" si="64"/>
        <v>2</v>
      </c>
      <c r="DA21" s="26">
        <f t="shared" ca="1" si="65"/>
        <v>3.1821428571428569</v>
      </c>
      <c r="DC21" s="12">
        <v>14</v>
      </c>
      <c r="DD21" s="12">
        <f ca="1">IF($CO21="","",COUNTIF(INDIRECT(DG$4&amp;":"&amp;DG$5),"&gt;"&amp;DG21)+COUNTIF(DG$8:DG21,DG21))</f>
        <v>17</v>
      </c>
      <c r="DE21" s="12" t="str">
        <f t="shared" ca="1" si="66"/>
        <v>Newcastle</v>
      </c>
      <c r="DF21" s="12">
        <f t="shared" ca="1" si="67"/>
        <v>2</v>
      </c>
      <c r="DG21" s="12">
        <f t="shared" ca="1" si="68"/>
        <v>3.2727272727272729</v>
      </c>
      <c r="DH21" s="12" t="str">
        <f t="shared" ca="1" si="69"/>
        <v>X34</v>
      </c>
      <c r="DI21" s="12" t="str">
        <f t="shared" ca="1" si="70"/>
        <v>X35</v>
      </c>
      <c r="DJ21" s="12" t="str">
        <f t="shared" ca="1" si="71"/>
        <v>AG34</v>
      </c>
      <c r="DK21" s="12" t="str">
        <f t="shared" ca="1" si="72"/>
        <v>AM35</v>
      </c>
      <c r="DL21" s="12">
        <f t="shared" ca="1" si="73"/>
        <v>36</v>
      </c>
      <c r="DM21" s="12">
        <f t="shared" ca="1" si="13"/>
        <v>37</v>
      </c>
      <c r="DN21" s="20">
        <f t="shared" ca="1" si="74"/>
        <v>14</v>
      </c>
      <c r="DO21" s="19" t="str">
        <f t="shared" ca="1" si="75"/>
        <v>West Ham</v>
      </c>
      <c r="DP21" s="20">
        <f t="shared" ca="1" si="76"/>
        <v>2</v>
      </c>
      <c r="DQ21" s="46">
        <f t="shared" ca="1" si="77"/>
        <v>3.75</v>
      </c>
      <c r="DW21" s="86"/>
      <c r="DX21" s="86"/>
      <c r="DY21" s="86"/>
    </row>
    <row r="22" spans="2:129" x14ac:dyDescent="0.25">
      <c r="B22" s="25"/>
      <c r="C22" s="25" t="s">
        <v>66</v>
      </c>
      <c r="D22" s="25"/>
      <c r="E22" s="25"/>
      <c r="I22" s="43" t="str">
        <f t="shared" si="14"/>
        <v>i</v>
      </c>
      <c r="J22" s="43">
        <f t="shared" si="78"/>
        <v>15</v>
      </c>
      <c r="K22" s="44">
        <f ca="1">IF(M22="",0,COUNTIF(INDIRECT($J$4&amp;":"&amp;$J$5),"&lt;"&amp;V22)+COUNTIF($V$8:V22,V22))</f>
        <v>23</v>
      </c>
      <c r="L22" s="45">
        <f t="shared" si="79"/>
        <v>15</v>
      </c>
      <c r="M22" s="41" t="s">
        <v>73</v>
      </c>
      <c r="N22" s="42" t="s">
        <v>40</v>
      </c>
      <c r="O22" s="42">
        <v>46</v>
      </c>
      <c r="P22" s="42">
        <v>13</v>
      </c>
      <c r="Q22" s="42">
        <v>13</v>
      </c>
      <c r="R22" s="45"/>
      <c r="S22" s="45" t="str">
        <f t="shared" si="15"/>
        <v/>
      </c>
      <c r="T22" s="12" t="str">
        <f t="shared" si="16"/>
        <v/>
      </c>
      <c r="V22" s="12" t="str">
        <f t="shared" si="17"/>
        <v>Man City</v>
      </c>
      <c r="W22" s="69">
        <f t="shared" ca="1" si="84"/>
        <v>15</v>
      </c>
      <c r="X22" s="71" t="str">
        <f t="shared" ca="1" si="80"/>
        <v>Everton</v>
      </c>
      <c r="Y22" s="71">
        <f t="shared" ca="1" si="18"/>
        <v>2</v>
      </c>
      <c r="Z22" s="69" t="str">
        <f t="shared" ca="1" si="19"/>
        <v>H</v>
      </c>
      <c r="AA22" s="69">
        <f t="shared" ca="1" si="20"/>
        <v>60</v>
      </c>
      <c r="AB22" s="66">
        <f t="shared" ca="1" si="21"/>
        <v>8</v>
      </c>
      <c r="AC22" s="66">
        <f t="shared" ca="1" si="22"/>
        <v>12</v>
      </c>
      <c r="AD22" s="66">
        <f t="shared" ca="1" si="23"/>
        <v>20</v>
      </c>
      <c r="AE22" s="70">
        <f t="shared" ca="1" si="81"/>
        <v>4.5</v>
      </c>
      <c r="AF22" s="70">
        <f t="shared" ca="1" si="24"/>
        <v>4.5</v>
      </c>
      <c r="AG22" s="70">
        <f t="shared" ca="1" si="25"/>
        <v>4.5</v>
      </c>
      <c r="AH22" s="70">
        <f t="shared" ca="1" si="26"/>
        <v>54</v>
      </c>
      <c r="AI22" s="70">
        <f t="shared" ca="1" si="27"/>
        <v>36</v>
      </c>
      <c r="AJ22" s="70">
        <f t="shared" ca="1" si="28"/>
        <v>90</v>
      </c>
      <c r="AK22" s="67">
        <f ca="1">IF(X22="","",IF($X22=$X21,SUM(AI21:AI22)/SUM(AB21:AB22),0))</f>
        <v>0</v>
      </c>
      <c r="AL22" s="67">
        <f ca="1">IF(X22="","",IF($X22=$X21,SUM(AH21:AH22)/SUM(AC21:AC22),0))</f>
        <v>0</v>
      </c>
      <c r="AM22" s="67">
        <f ca="1">IF(X22="","",IF($X22=$X21,180/SUM(AB21:AC22),0))</f>
        <v>0</v>
      </c>
      <c r="AQ22" s="12">
        <f t="shared" si="88"/>
        <v>15</v>
      </c>
      <c r="AR22" s="12">
        <f ca="1">IF($AE22="",0,COUNTIF(INDIRECT(AE$4&amp;":"&amp;AE$5),"&gt;"&amp;AE22)+COUNTIF(AE$8:AE22,AE22))</f>
        <v>17</v>
      </c>
      <c r="AS22" s="12" t="str">
        <f t="shared" ca="1" si="29"/>
        <v>Everton</v>
      </c>
      <c r="AT22" s="12">
        <f t="shared" ca="1" si="30"/>
        <v>4.5</v>
      </c>
      <c r="AV22" s="22">
        <f t="shared" ca="1" si="82"/>
        <v>15</v>
      </c>
      <c r="AW22" s="21" t="str">
        <f t="shared" ca="1" si="31"/>
        <v>Burnley</v>
      </c>
      <c r="AX22" s="24">
        <f t="shared" ca="1" si="32"/>
        <v>4.663636363636364</v>
      </c>
      <c r="AZ22" s="12">
        <f t="shared" si="89"/>
        <v>15</v>
      </c>
      <c r="BA22" s="12">
        <f ca="1">IF($AE22="",0,COUNTIF(INDIRECT(AF$4&amp;":"&amp;AF$5),"&gt;"&amp;AF22)+COUNTIF(AF$8:AF22,AF22))</f>
        <v>14</v>
      </c>
      <c r="BB22" s="12" t="str">
        <f t="shared" ca="1" si="33"/>
        <v>Everton</v>
      </c>
      <c r="BC22" s="12">
        <f t="shared" ca="1" si="34"/>
        <v>4.5</v>
      </c>
      <c r="BE22" s="22">
        <f t="shared" ca="1" si="35"/>
        <v>15</v>
      </c>
      <c r="BF22" s="21" t="str">
        <f t="shared" ca="1" si="36"/>
        <v>Sheffield Utd</v>
      </c>
      <c r="BG22" s="24">
        <f t="shared" ca="1" si="37"/>
        <v>4.3875000000000002</v>
      </c>
      <c r="BI22" s="12">
        <f t="shared" si="90"/>
        <v>15</v>
      </c>
      <c r="BJ22" s="12">
        <f ca="1">IF($AE22="",0,COUNTIF(INDIRECT(AG$4&amp;":"&amp;AG$5),"&gt;"&amp;AG22)+COUNTIF(AG$8:AG22,AG22))</f>
        <v>10</v>
      </c>
      <c r="BK22" s="12" t="str">
        <f t="shared" ca="1" si="38"/>
        <v>Everton</v>
      </c>
      <c r="BL22" s="12">
        <f t="shared" ca="1" si="39"/>
        <v>4.5</v>
      </c>
      <c r="BN22" s="22">
        <f t="shared" ca="1" si="40"/>
        <v>15</v>
      </c>
      <c r="BO22" s="21" t="str">
        <f t="shared" ca="1" si="41"/>
        <v>Crystal Palace</v>
      </c>
      <c r="BP22" s="24">
        <f t="shared" ca="1" si="42"/>
        <v>4.0909090909090908</v>
      </c>
      <c r="BW22" s="14">
        <v>15</v>
      </c>
      <c r="BX22" s="14">
        <f ca="1">IF($CO22="","",COUNTIF(INDIRECT(CA$4&amp;":"&amp;CA$5),"&gt;"&amp;CA22)+COUNTIF(CA$8:CA22,CA22))</f>
        <v>11</v>
      </c>
      <c r="BY22" s="14" t="str">
        <f t="shared" ca="1" si="43"/>
        <v>Notts Forest</v>
      </c>
      <c r="BZ22" s="14">
        <f t="shared" ca="1" si="44"/>
        <v>2</v>
      </c>
      <c r="CA22" s="14">
        <f t="shared" ca="1" si="45"/>
        <v>3.8250000000000002</v>
      </c>
      <c r="CB22" s="14" t="str">
        <f t="shared" ca="1" si="46"/>
        <v>X36</v>
      </c>
      <c r="CC22" s="14" t="str">
        <f t="shared" ca="1" si="47"/>
        <v>X37</v>
      </c>
      <c r="CD22" s="14" t="str">
        <f t="shared" ca="1" si="48"/>
        <v>AE36</v>
      </c>
      <c r="CE22" s="14" t="str">
        <f t="shared" ca="1" si="49"/>
        <v>AK37</v>
      </c>
      <c r="CF22" s="14">
        <f t="shared" ca="1" si="50"/>
        <v>38</v>
      </c>
      <c r="CG22" s="14">
        <f t="shared" ca="1" si="11"/>
        <v>39</v>
      </c>
      <c r="CH22" s="20">
        <f t="shared" ca="1" si="51"/>
        <v>15</v>
      </c>
      <c r="CI22" s="19" t="str">
        <f t="shared" ca="1" si="52"/>
        <v>Everton</v>
      </c>
      <c r="CJ22" s="20">
        <f t="shared" ca="1" si="53"/>
        <v>2</v>
      </c>
      <c r="CK22" s="26">
        <f t="shared" ca="1" si="54"/>
        <v>2.9045454545454548</v>
      </c>
      <c r="CM22" s="14">
        <v>15</v>
      </c>
      <c r="CN22" s="14">
        <f ca="1">IF($CO22="","",COUNTIF(INDIRECT(CQ$4&amp;":"&amp;CQ$5),"&gt;"&amp;CQ22)+COUNTIF(CQ$8:CQ22,CQ22))</f>
        <v>3</v>
      </c>
      <c r="CO22" s="12" t="str">
        <f t="shared" ca="1" si="55"/>
        <v>Notts Forest</v>
      </c>
      <c r="CP22" s="12">
        <f t="shared" ca="1" si="56"/>
        <v>2</v>
      </c>
      <c r="CQ22" s="12">
        <f t="shared" ca="1" si="57"/>
        <v>5.4</v>
      </c>
      <c r="CR22" s="12" t="str">
        <f t="shared" ca="1" si="58"/>
        <v>X36</v>
      </c>
      <c r="CS22" s="12" t="str">
        <f t="shared" ca="1" si="59"/>
        <v>X37</v>
      </c>
      <c r="CT22" s="12" t="str">
        <f t="shared" ca="1" si="60"/>
        <v>AF36</v>
      </c>
      <c r="CU22" s="12" t="str">
        <f t="shared" ca="1" si="61"/>
        <v>AL37</v>
      </c>
      <c r="CV22" s="14">
        <f t="shared" ca="1" si="62"/>
        <v>38</v>
      </c>
      <c r="CW22" s="12">
        <f t="shared" ca="1" si="12"/>
        <v>39</v>
      </c>
      <c r="CX22" s="20">
        <f t="shared" ca="1" si="83"/>
        <v>15</v>
      </c>
      <c r="CY22" s="19" t="str">
        <f t="shared" ca="1" si="63"/>
        <v>Chelsea</v>
      </c>
      <c r="CZ22" s="20">
        <f t="shared" ca="1" si="64"/>
        <v>2</v>
      </c>
      <c r="DA22" s="26">
        <f t="shared" ca="1" si="65"/>
        <v>2.973913043478261</v>
      </c>
      <c r="DC22" s="12">
        <v>15</v>
      </c>
      <c r="DD22" s="12">
        <f ca="1">IF($CO22="","",COUNTIF(INDIRECT(DG$4&amp;":"&amp;DG$5),"&gt;"&amp;DG22)+COUNTIF(DG$8:DG22,DG22))</f>
        <v>3</v>
      </c>
      <c r="DE22" s="12" t="str">
        <f t="shared" ca="1" si="66"/>
        <v>Notts Forest</v>
      </c>
      <c r="DF22" s="12">
        <f t="shared" ca="1" si="67"/>
        <v>2</v>
      </c>
      <c r="DG22" s="12">
        <f t="shared" ca="1" si="68"/>
        <v>4.7368421052631575</v>
      </c>
      <c r="DH22" s="12" t="str">
        <f t="shared" ca="1" si="69"/>
        <v>X36</v>
      </c>
      <c r="DI22" s="12" t="str">
        <f t="shared" ca="1" si="70"/>
        <v>X37</v>
      </c>
      <c r="DJ22" s="12" t="str">
        <f t="shared" ca="1" si="71"/>
        <v>AG36</v>
      </c>
      <c r="DK22" s="12" t="str">
        <f t="shared" ca="1" si="72"/>
        <v>AM37</v>
      </c>
      <c r="DL22" s="12">
        <f t="shared" ca="1" si="73"/>
        <v>38</v>
      </c>
      <c r="DM22" s="12">
        <f t="shared" ca="1" si="13"/>
        <v>39</v>
      </c>
      <c r="DN22" s="20">
        <f t="shared" ca="1" si="74"/>
        <v>15</v>
      </c>
      <c r="DO22" s="19" t="str">
        <f t="shared" ca="1" si="75"/>
        <v>Tottenham</v>
      </c>
      <c r="DP22" s="20">
        <f t="shared" ca="1" si="76"/>
        <v>2</v>
      </c>
      <c r="DQ22" s="46">
        <f t="shared" ca="1" si="77"/>
        <v>3.6</v>
      </c>
      <c r="DW22" s="86"/>
      <c r="DX22" s="86"/>
      <c r="DY22" s="86"/>
    </row>
    <row r="23" spans="2:129" x14ac:dyDescent="0.25">
      <c r="B23" s="25"/>
      <c r="C23" s="25" t="s">
        <v>68</v>
      </c>
      <c r="D23" s="25"/>
      <c r="E23" s="25"/>
      <c r="I23" s="43" t="str">
        <f>IF(ROW()&lt;=$T$7+1,"i","n")</f>
        <v>i</v>
      </c>
      <c r="J23" s="43">
        <f t="shared" si="78"/>
        <v>16</v>
      </c>
      <c r="K23" s="44">
        <f ca="1">IF(M23="",0,COUNTIF(INDIRECT($J$4&amp;":"&amp;$J$5),"&lt;"&amp;V23)+COUNTIF($V$8:V23,V23))</f>
        <v>1</v>
      </c>
      <c r="L23" s="45">
        <f t="shared" si="79"/>
        <v>16</v>
      </c>
      <c r="M23" s="41" t="s">
        <v>70</v>
      </c>
      <c r="N23" s="42" t="s">
        <v>40</v>
      </c>
      <c r="O23" s="42">
        <v>39</v>
      </c>
      <c r="P23" s="42">
        <v>16</v>
      </c>
      <c r="Q23" s="42">
        <v>11</v>
      </c>
      <c r="R23" s="45"/>
      <c r="S23" s="45" t="str">
        <f t="shared" si="15"/>
        <v/>
      </c>
      <c r="T23" s="12" t="str">
        <f t="shared" si="16"/>
        <v/>
      </c>
      <c r="V23" s="12" t="str">
        <f t="shared" si="17"/>
        <v>Arsenal</v>
      </c>
      <c r="W23" s="69">
        <f t="shared" ca="1" si="84"/>
        <v>16</v>
      </c>
      <c r="X23" s="71" t="str">
        <f t="shared" ca="1" si="80"/>
        <v>Everton</v>
      </c>
      <c r="Y23" s="71">
        <f t="shared" ca="1" si="18"/>
        <v>21</v>
      </c>
      <c r="Z23" s="69" t="str">
        <f t="shared" ca="1" si="19"/>
        <v>A</v>
      </c>
      <c r="AA23" s="69">
        <f t="shared" ca="1" si="20"/>
        <v>69</v>
      </c>
      <c r="AB23" s="66">
        <f t="shared" ca="1" si="21"/>
        <v>14</v>
      </c>
      <c r="AC23" s="66">
        <f t="shared" ca="1" si="22"/>
        <v>13</v>
      </c>
      <c r="AD23" s="66">
        <f t="shared" ca="1" si="23"/>
        <v>27</v>
      </c>
      <c r="AE23" s="70">
        <f t="shared" ca="1" si="81"/>
        <v>1.9928571428571431</v>
      </c>
      <c r="AF23" s="70">
        <f t="shared" ca="1" si="24"/>
        <v>4.7769230769230768</v>
      </c>
      <c r="AG23" s="70">
        <f t="shared" ca="1" si="25"/>
        <v>3.3333333333333335</v>
      </c>
      <c r="AH23" s="70">
        <f t="shared" ca="1" si="26"/>
        <v>62.1</v>
      </c>
      <c r="AI23" s="70">
        <f t="shared" ca="1" si="27"/>
        <v>27.900000000000002</v>
      </c>
      <c r="AJ23" s="70">
        <f t="shared" ca="1" si="28"/>
        <v>90</v>
      </c>
      <c r="AK23" s="67">
        <f ca="1">IF(X23="","",IF(SUM(AB22:AB23)=0,0,IF($X23=$X22,SUM(AI22:AI23)/SUM(AB22:AB23),0)))</f>
        <v>2.9045454545454548</v>
      </c>
      <c r="AL23" s="67">
        <f ca="1">IF(X23="","",IF(SUM(AC22:AC23)=0,0,IF($X23=$X22,SUM(AH22:AH23)/SUM(AC22:AC23),0)))</f>
        <v>4.6440000000000001</v>
      </c>
      <c r="AM23" s="67">
        <f ca="1">IF(X23="","",IF(SUM(AB22:AC23)=0,0,IF($X23=$X22,SUM(AJ22:AJ23)/SUM(AB22:AC23),0)))</f>
        <v>3.8297872340425534</v>
      </c>
      <c r="AQ23" s="12">
        <f t="shared" si="88"/>
        <v>16</v>
      </c>
      <c r="AR23" s="12">
        <f ca="1">IF($AE23="",0,COUNTIF(INDIRECT(AE$4&amp;":"&amp;AE$5),"&gt;"&amp;AE23)+COUNTIF(AE$8:AE23,AE23))</f>
        <v>36</v>
      </c>
      <c r="AS23" s="12" t="str">
        <f t="shared" ca="1" si="29"/>
        <v>Everton</v>
      </c>
      <c r="AT23" s="12">
        <f t="shared" ca="1" si="30"/>
        <v>1.9928571428571431</v>
      </c>
      <c r="AV23" s="22">
        <f t="shared" ca="1" si="82"/>
        <v>16</v>
      </c>
      <c r="AW23" s="21" t="str">
        <f t="shared" ca="1" si="31"/>
        <v>Wolverhampton</v>
      </c>
      <c r="AX23" s="24">
        <f t="shared" ca="1" si="32"/>
        <v>4.5999999999999996</v>
      </c>
      <c r="AZ23" s="12">
        <f t="shared" si="89"/>
        <v>16</v>
      </c>
      <c r="BA23" s="12">
        <f ca="1">IF($AE23="",0,COUNTIF(INDIRECT(AF$4&amp;":"&amp;AF$5),"&gt;"&amp;AF23)+COUNTIF(AF$8:AF23,AF23))</f>
        <v>10</v>
      </c>
      <c r="BB23" s="12" t="str">
        <f t="shared" ca="1" si="33"/>
        <v>Everton</v>
      </c>
      <c r="BC23" s="12">
        <f t="shared" ca="1" si="34"/>
        <v>4.7769230769230768</v>
      </c>
      <c r="BE23" s="22">
        <f t="shared" ca="1" si="35"/>
        <v>16</v>
      </c>
      <c r="BF23" s="21" t="str">
        <f t="shared" ca="1" si="36"/>
        <v>Burnley</v>
      </c>
      <c r="BG23" s="24">
        <f t="shared" ca="1" si="37"/>
        <v>4.2428571428571429</v>
      </c>
      <c r="BI23" s="12">
        <f t="shared" si="90"/>
        <v>16</v>
      </c>
      <c r="BJ23" s="12">
        <f ca="1">IF($AE23="",0,COUNTIF(INDIRECT(AG$4&amp;":"&amp;AG$5),"&gt;"&amp;AG23)+COUNTIF(AG$8:AG23,AG23))</f>
        <v>32</v>
      </c>
      <c r="BK23" s="12" t="str">
        <f t="shared" ca="1" si="38"/>
        <v>Everton</v>
      </c>
      <c r="BL23" s="12">
        <f t="shared" ca="1" si="39"/>
        <v>3.3333333333333335</v>
      </c>
      <c r="BN23" s="22">
        <f t="shared" ca="1" si="40"/>
        <v>16</v>
      </c>
      <c r="BO23" s="21" t="str">
        <f t="shared" ca="1" si="41"/>
        <v>Brighton</v>
      </c>
      <c r="BP23" s="24">
        <f t="shared" ca="1" si="42"/>
        <v>3.9130434782608696</v>
      </c>
      <c r="BW23" s="14">
        <v>16</v>
      </c>
      <c r="BX23" s="14">
        <f ca="1">IF($CO23="","",COUNTIF(INDIRECT(CA$4&amp;":"&amp;CA$5),"&gt;"&amp;CA23)+COUNTIF(CA$8:CA23,CA23))</f>
        <v>16</v>
      </c>
      <c r="BY23" s="14" t="str">
        <f t="shared" ca="1" si="43"/>
        <v>Sheffield Utd</v>
      </c>
      <c r="BZ23" s="14">
        <f t="shared" ca="1" si="44"/>
        <v>2</v>
      </c>
      <c r="CA23" s="14">
        <f t="shared" ca="1" si="45"/>
        <v>2.8000000000000003</v>
      </c>
      <c r="CB23" s="14" t="str">
        <f t="shared" ca="1" si="46"/>
        <v>X38</v>
      </c>
      <c r="CC23" s="14" t="str">
        <f t="shared" ca="1" si="47"/>
        <v>X39</v>
      </c>
      <c r="CD23" s="14" t="str">
        <f t="shared" ca="1" si="48"/>
        <v>AE38</v>
      </c>
      <c r="CE23" s="14" t="str">
        <f t="shared" ca="1" si="49"/>
        <v>AK39</v>
      </c>
      <c r="CF23" s="14">
        <f t="shared" ca="1" si="50"/>
        <v>40</v>
      </c>
      <c r="CG23" s="14">
        <f t="shared" ca="1" si="11"/>
        <v>41</v>
      </c>
      <c r="CH23" s="20">
        <f t="shared" ca="1" si="51"/>
        <v>16</v>
      </c>
      <c r="CI23" s="19" t="str">
        <f t="shared" ca="1" si="52"/>
        <v>Sheffield Utd</v>
      </c>
      <c r="CJ23" s="20">
        <f t="shared" ca="1" si="53"/>
        <v>2</v>
      </c>
      <c r="CK23" s="26">
        <f t="shared" ca="1" si="54"/>
        <v>2.8000000000000003</v>
      </c>
      <c r="CM23" s="14">
        <v>16</v>
      </c>
      <c r="CN23" s="14">
        <f ca="1">IF($CO23="","",COUNTIF(INDIRECT(CQ$4&amp;":"&amp;CQ$5),"&gt;"&amp;CQ23)+COUNTIF(CQ$8:CQ23,CQ23))</f>
        <v>5</v>
      </c>
      <c r="CO23" s="12" t="str">
        <f t="shared" ca="1" si="55"/>
        <v>Sheffield Utd</v>
      </c>
      <c r="CP23" s="12">
        <f t="shared" ca="1" si="56"/>
        <v>2</v>
      </c>
      <c r="CQ23" s="12">
        <f t="shared" ca="1" si="57"/>
        <v>4.9846153846153847</v>
      </c>
      <c r="CR23" s="12" t="str">
        <f t="shared" ca="1" si="58"/>
        <v>X38</v>
      </c>
      <c r="CS23" s="12" t="str">
        <f t="shared" ca="1" si="59"/>
        <v>X39</v>
      </c>
      <c r="CT23" s="12" t="str">
        <f t="shared" ca="1" si="60"/>
        <v>AF38</v>
      </c>
      <c r="CU23" s="12" t="str">
        <f t="shared" ca="1" si="61"/>
        <v>AL39</v>
      </c>
      <c r="CV23" s="14">
        <f t="shared" ca="1" si="62"/>
        <v>40</v>
      </c>
      <c r="CW23" s="12">
        <f t="shared" ca="1" si="12"/>
        <v>41</v>
      </c>
      <c r="CX23" s="20">
        <f t="shared" ca="1" si="83"/>
        <v>16</v>
      </c>
      <c r="CY23" s="19" t="str">
        <f t="shared" ca="1" si="63"/>
        <v>Liverpool</v>
      </c>
      <c r="CZ23" s="20">
        <f t="shared" ca="1" si="64"/>
        <v>2</v>
      </c>
      <c r="DA23" s="26">
        <f t="shared" ca="1" si="65"/>
        <v>2.5666666666666664</v>
      </c>
      <c r="DC23" s="12">
        <v>16</v>
      </c>
      <c r="DD23" s="12">
        <f ca="1">IF($CO23="","",COUNTIF(INDIRECT(DG$4&amp;":"&amp;DG$5),"&gt;"&amp;DG23)+COUNTIF(DG$8:DG23,DG23))</f>
        <v>5</v>
      </c>
      <c r="DE23" s="12" t="str">
        <f t="shared" ca="1" si="66"/>
        <v>Sheffield Utd</v>
      </c>
      <c r="DF23" s="12">
        <f t="shared" ca="1" si="67"/>
        <v>2</v>
      </c>
      <c r="DG23" s="12">
        <f t="shared" ca="1" si="68"/>
        <v>4.0909090909090908</v>
      </c>
      <c r="DH23" s="12" t="str">
        <f t="shared" ca="1" si="69"/>
        <v>X38</v>
      </c>
      <c r="DI23" s="12" t="str">
        <f t="shared" ca="1" si="70"/>
        <v>X39</v>
      </c>
      <c r="DJ23" s="12" t="str">
        <f t="shared" ca="1" si="71"/>
        <v>AG38</v>
      </c>
      <c r="DK23" s="12" t="str">
        <f t="shared" ca="1" si="72"/>
        <v>AM39</v>
      </c>
      <c r="DL23" s="12">
        <f t="shared" ca="1" si="73"/>
        <v>40</v>
      </c>
      <c r="DM23" s="12">
        <f t="shared" ca="1" si="13"/>
        <v>41</v>
      </c>
      <c r="DN23" s="20">
        <f t="shared" ca="1" si="74"/>
        <v>16</v>
      </c>
      <c r="DO23" s="19" t="str">
        <f t="shared" ca="1" si="75"/>
        <v>Brentford</v>
      </c>
      <c r="DP23" s="20">
        <f t="shared" ca="1" si="76"/>
        <v>2</v>
      </c>
      <c r="DQ23" s="46">
        <f t="shared" ca="1" si="77"/>
        <v>3.5294117647058822</v>
      </c>
      <c r="DW23" s="86"/>
      <c r="DX23" s="86"/>
      <c r="DY23" s="86"/>
    </row>
    <row r="24" spans="2:129" x14ac:dyDescent="0.25">
      <c r="B24" s="25"/>
      <c r="C24" s="25" t="s">
        <v>31</v>
      </c>
      <c r="D24" s="25"/>
      <c r="E24" s="25"/>
      <c r="I24" s="43" t="str">
        <f t="shared" si="14"/>
        <v>i</v>
      </c>
      <c r="J24" s="43">
        <f t="shared" si="78"/>
        <v>17</v>
      </c>
      <c r="K24" s="44">
        <f ca="1">IF(M24="",0,COUNTIF(INDIRECT($J$4&amp;":"&amp;$J$5),"&lt;"&amp;V24)+COUNTIF($V$8:V24,V24))</f>
        <v>5</v>
      </c>
      <c r="L24" s="45">
        <f t="shared" si="79"/>
        <v>17</v>
      </c>
      <c r="M24" s="41" t="s">
        <v>74</v>
      </c>
      <c r="N24" s="42" t="s">
        <v>2</v>
      </c>
      <c r="O24" s="42">
        <v>68</v>
      </c>
      <c r="P24" s="42">
        <v>6</v>
      </c>
      <c r="Q24" s="42">
        <v>19</v>
      </c>
      <c r="R24" s="45"/>
      <c r="S24" s="45" t="str">
        <f t="shared" si="15"/>
        <v/>
      </c>
      <c r="T24" s="12" t="str">
        <f t="shared" si="16"/>
        <v/>
      </c>
      <c r="V24" s="12" t="str">
        <f t="shared" si="17"/>
        <v>Brentford</v>
      </c>
      <c r="W24" s="69">
        <f t="shared" ca="1" si="84"/>
        <v>17</v>
      </c>
      <c r="X24" s="71" t="str">
        <f t="shared" ca="1" si="80"/>
        <v>Fulham</v>
      </c>
      <c r="Y24" s="71">
        <f t="shared" ca="1" si="18"/>
        <v>12</v>
      </c>
      <c r="Z24" s="69" t="str">
        <f t="shared" ca="1" si="19"/>
        <v>H</v>
      </c>
      <c r="AA24" s="69">
        <f t="shared" ca="1" si="20"/>
        <v>51</v>
      </c>
      <c r="AB24" s="66">
        <f t="shared" ca="1" si="21"/>
        <v>4</v>
      </c>
      <c r="AC24" s="66">
        <f t="shared" ca="1" si="22"/>
        <v>17</v>
      </c>
      <c r="AD24" s="66">
        <f t="shared" ca="1" si="23"/>
        <v>21</v>
      </c>
      <c r="AE24" s="70">
        <f t="shared" ca="1" si="81"/>
        <v>11.025</v>
      </c>
      <c r="AF24" s="70">
        <f t="shared" ca="1" si="24"/>
        <v>2.6999999999999997</v>
      </c>
      <c r="AG24" s="70">
        <f t="shared" ca="1" si="25"/>
        <v>4.2857142857142856</v>
      </c>
      <c r="AH24" s="70">
        <f t="shared" ca="1" si="26"/>
        <v>45.9</v>
      </c>
      <c r="AI24" s="70">
        <f t="shared" ca="1" si="27"/>
        <v>44.1</v>
      </c>
      <c r="AJ24" s="70">
        <f t="shared" ca="1" si="28"/>
        <v>90</v>
      </c>
      <c r="AK24" s="67">
        <f ca="1">IF(X24="","",IF($X24=$X23,SUM(AI23:AI24)/SUM(AB23:AB24),0))</f>
        <v>0</v>
      </c>
      <c r="AL24" s="67">
        <f ca="1">IF(X24="","",IF($X24=$X23,SUM(AH23:AH24)/SUM(AC23:AC24),0))</f>
        <v>0</v>
      </c>
      <c r="AM24" s="67">
        <f ca="1">IF(X24="","",IF($X24=$X23,180/SUM(AB23:AC24),0))</f>
        <v>0</v>
      </c>
      <c r="AQ24" s="12">
        <f t="shared" si="88"/>
        <v>17</v>
      </c>
      <c r="AR24" s="12">
        <f ca="1">IF($AE24="",0,COUNTIF(INDIRECT(AE$4&amp;":"&amp;AE$5),"&gt;"&amp;AE24)+COUNTIF(AE$8:AE24,AE24))</f>
        <v>1</v>
      </c>
      <c r="AS24" s="12" t="str">
        <f t="shared" ca="1" si="29"/>
        <v>Fulham</v>
      </c>
      <c r="AT24" s="12">
        <f t="shared" ca="1" si="30"/>
        <v>11.025</v>
      </c>
      <c r="AV24" s="22">
        <f t="shared" ca="1" si="82"/>
        <v>17</v>
      </c>
      <c r="AW24" s="21" t="str">
        <f t="shared" ca="1" si="31"/>
        <v>Everton</v>
      </c>
      <c r="AX24" s="24">
        <f t="shared" ca="1" si="32"/>
        <v>4.5</v>
      </c>
      <c r="AZ24" s="12">
        <f t="shared" si="89"/>
        <v>17</v>
      </c>
      <c r="BA24" s="12">
        <f ca="1">IF($AE24="",0,COUNTIF(INDIRECT(AF$4&amp;":"&amp;AF$5),"&gt;"&amp;AF24)+COUNTIF(AF$8:AF24,AF24))</f>
        <v>31</v>
      </c>
      <c r="BB24" s="12" t="str">
        <f t="shared" ca="1" si="33"/>
        <v>Fulham</v>
      </c>
      <c r="BC24" s="12">
        <f t="shared" ca="1" si="34"/>
        <v>2.6999999999999997</v>
      </c>
      <c r="BE24" s="22">
        <f t="shared" ca="1" si="35"/>
        <v>17</v>
      </c>
      <c r="BF24" s="21" t="str">
        <f t="shared" ca="1" si="36"/>
        <v>Crystal Palace</v>
      </c>
      <c r="BG24" s="24">
        <f t="shared" ca="1" si="37"/>
        <v>4.1399999999999997</v>
      </c>
      <c r="BI24" s="12">
        <f t="shared" si="90"/>
        <v>17</v>
      </c>
      <c r="BJ24" s="12">
        <f ca="1">IF($AE24="",0,COUNTIF(INDIRECT(AG$4&amp;":"&amp;AG$5),"&gt;"&amp;AG24)+COUNTIF(AG$8:AG24,AG24))</f>
        <v>12</v>
      </c>
      <c r="BK24" s="12" t="str">
        <f t="shared" ca="1" si="38"/>
        <v>Fulham</v>
      </c>
      <c r="BL24" s="12">
        <f t="shared" ca="1" si="39"/>
        <v>4.2857142857142856</v>
      </c>
      <c r="BN24" s="22">
        <f t="shared" ca="1" si="40"/>
        <v>17</v>
      </c>
      <c r="BO24" s="21" t="str">
        <f t="shared" ca="1" si="41"/>
        <v>Burnley</v>
      </c>
      <c r="BP24" s="24">
        <f t="shared" ca="1" si="42"/>
        <v>3.9130434782608696</v>
      </c>
      <c r="BW24" s="14">
        <v>17</v>
      </c>
      <c r="BX24" s="14">
        <f ca="1">IF($CO24="","",COUNTIF(INDIRECT(CA$4&amp;":"&amp;CA$5),"&gt;"&amp;CA24)+COUNTIF(CA$8:CA24,CA24))</f>
        <v>3</v>
      </c>
      <c r="BY24" s="14" t="str">
        <f t="shared" ca="1" si="43"/>
        <v>Tottenham</v>
      </c>
      <c r="BZ24" s="14">
        <f t="shared" ca="1" si="44"/>
        <v>2</v>
      </c>
      <c r="CA24" s="14">
        <f t="shared" ca="1" si="45"/>
        <v>4.9125000000000005</v>
      </c>
      <c r="CB24" s="14" t="str">
        <f t="shared" ca="1" si="46"/>
        <v>X40</v>
      </c>
      <c r="CC24" s="14" t="str">
        <f t="shared" ca="1" si="47"/>
        <v>X41</v>
      </c>
      <c r="CD24" s="14" t="str">
        <f t="shared" ca="1" si="48"/>
        <v>AE40</v>
      </c>
      <c r="CE24" s="14" t="str">
        <f t="shared" ca="1" si="49"/>
        <v>AK41</v>
      </c>
      <c r="CF24" s="14">
        <f t="shared" ca="1" si="50"/>
        <v>42</v>
      </c>
      <c r="CG24" s="14">
        <f t="shared" ca="1" si="11"/>
        <v>43</v>
      </c>
      <c r="CH24" s="20">
        <f t="shared" ca="1" si="51"/>
        <v>17</v>
      </c>
      <c r="CI24" s="19" t="str">
        <f t="shared" ca="1" si="52"/>
        <v>Brentford</v>
      </c>
      <c r="CJ24" s="20">
        <f t="shared" ca="1" si="53"/>
        <v>2</v>
      </c>
      <c r="CK24" s="26">
        <f t="shared" ca="1" si="54"/>
        <v>2.7</v>
      </c>
      <c r="CM24" s="14">
        <v>17</v>
      </c>
      <c r="CN24" s="14">
        <f ca="1">IF($CO24="","",COUNTIF(INDIRECT(CQ$4&amp;":"&amp;CQ$5),"&gt;"&amp;CQ24)+COUNTIF(CQ$8:CQ24,CQ24))</f>
        <v>18</v>
      </c>
      <c r="CO24" s="12" t="str">
        <f t="shared" ca="1" si="55"/>
        <v>Tottenham</v>
      </c>
      <c r="CP24" s="12">
        <f t="shared" ca="1" si="56"/>
        <v>2</v>
      </c>
      <c r="CQ24" s="12">
        <f t="shared" ca="1" si="57"/>
        <v>2.3884615384615389</v>
      </c>
      <c r="CR24" s="12" t="str">
        <f t="shared" ca="1" si="58"/>
        <v>X40</v>
      </c>
      <c r="CS24" s="12" t="str">
        <f t="shared" ca="1" si="59"/>
        <v>X41</v>
      </c>
      <c r="CT24" s="12" t="str">
        <f t="shared" ca="1" si="60"/>
        <v>AF40</v>
      </c>
      <c r="CU24" s="12" t="str">
        <f t="shared" ca="1" si="61"/>
        <v>AL41</v>
      </c>
      <c r="CV24" s="14">
        <f t="shared" ca="1" si="62"/>
        <v>42</v>
      </c>
      <c r="CW24" s="12">
        <f t="shared" ca="1" si="12"/>
        <v>43</v>
      </c>
      <c r="CX24" s="20">
        <f t="shared" ca="1" si="83"/>
        <v>17</v>
      </c>
      <c r="CY24" s="19" t="str">
        <f t="shared" ca="1" si="63"/>
        <v>Wolverhampton</v>
      </c>
      <c r="CZ24" s="20">
        <f t="shared" ca="1" si="64"/>
        <v>2</v>
      </c>
      <c r="DA24" s="26">
        <f t="shared" ca="1" si="65"/>
        <v>2.4157894736842107</v>
      </c>
      <c r="DC24" s="12">
        <v>17</v>
      </c>
      <c r="DD24" s="12">
        <f ca="1">IF($CO24="","",COUNTIF(INDIRECT(DG$4&amp;":"&amp;DG$5),"&gt;"&amp;DG24)+COUNTIF(DG$8:DG24,DG24))</f>
        <v>15</v>
      </c>
      <c r="DE24" s="12" t="str">
        <f t="shared" ca="1" si="66"/>
        <v>Tottenham</v>
      </c>
      <c r="DF24" s="12">
        <f t="shared" ca="1" si="67"/>
        <v>2</v>
      </c>
      <c r="DG24" s="12">
        <f t="shared" ca="1" si="68"/>
        <v>3.6</v>
      </c>
      <c r="DH24" s="12" t="str">
        <f t="shared" ca="1" si="69"/>
        <v>X40</v>
      </c>
      <c r="DI24" s="12" t="str">
        <f t="shared" ca="1" si="70"/>
        <v>X41</v>
      </c>
      <c r="DJ24" s="12" t="str">
        <f t="shared" ca="1" si="71"/>
        <v>AG40</v>
      </c>
      <c r="DK24" s="12" t="str">
        <f t="shared" ca="1" si="72"/>
        <v>AM41</v>
      </c>
      <c r="DL24" s="12">
        <f t="shared" ca="1" si="73"/>
        <v>42</v>
      </c>
      <c r="DM24" s="12">
        <f t="shared" ca="1" si="13"/>
        <v>43</v>
      </c>
      <c r="DN24" s="20">
        <f t="shared" ca="1" si="74"/>
        <v>17</v>
      </c>
      <c r="DO24" s="19" t="str">
        <f t="shared" ca="1" si="75"/>
        <v>Newcastle</v>
      </c>
      <c r="DP24" s="20">
        <f t="shared" ca="1" si="76"/>
        <v>2</v>
      </c>
      <c r="DQ24" s="46">
        <f t="shared" ca="1" si="77"/>
        <v>3.2727272727272729</v>
      </c>
      <c r="DW24" s="86"/>
      <c r="DX24" s="86"/>
      <c r="DY24" s="86"/>
    </row>
    <row r="25" spans="2:129" x14ac:dyDescent="0.25">
      <c r="B25" s="25"/>
      <c r="C25" s="25" t="s">
        <v>54</v>
      </c>
      <c r="D25" s="25"/>
      <c r="E25" s="25"/>
      <c r="I25" s="43" t="str">
        <f t="shared" si="14"/>
        <v>i</v>
      </c>
      <c r="J25" s="43">
        <f t="shared" si="78"/>
        <v>18</v>
      </c>
      <c r="K25" s="44">
        <f ca="1">IF(M25="",0,COUNTIF(INDIRECT($J$4&amp;":"&amp;$J$5),"&lt;"&amp;V25)+COUNTIF($V$8:V25,V25))</f>
        <v>31</v>
      </c>
      <c r="L25" s="45">
        <f t="shared" si="79"/>
        <v>18</v>
      </c>
      <c r="M25" s="41" t="s">
        <v>71</v>
      </c>
      <c r="N25" s="42" t="s">
        <v>40</v>
      </c>
      <c r="O25" s="42">
        <v>78</v>
      </c>
      <c r="P25" s="42">
        <v>11</v>
      </c>
      <c r="Q25" s="42">
        <v>16</v>
      </c>
      <c r="R25" s="45"/>
      <c r="S25" s="45" t="str">
        <f t="shared" si="15"/>
        <v/>
      </c>
      <c r="T25" s="12" t="str">
        <f t="shared" si="16"/>
        <v/>
      </c>
      <c r="V25" s="12" t="str">
        <f t="shared" si="17"/>
        <v>Sheffield Utd</v>
      </c>
      <c r="W25" s="69">
        <f t="shared" ca="1" si="84"/>
        <v>18</v>
      </c>
      <c r="X25" s="71" t="str">
        <f t="shared" ca="1" si="80"/>
        <v>Fulham</v>
      </c>
      <c r="Y25" s="71">
        <f t="shared" ca="1" si="18"/>
        <v>25</v>
      </c>
      <c r="Z25" s="69" t="str">
        <f t="shared" ca="1" si="19"/>
        <v>A</v>
      </c>
      <c r="AA25" s="69">
        <f t="shared" ca="1" si="20"/>
        <v>48</v>
      </c>
      <c r="AB25" s="66">
        <f t="shared" ca="1" si="21"/>
        <v>6</v>
      </c>
      <c r="AC25" s="66">
        <f t="shared" ca="1" si="22"/>
        <v>11</v>
      </c>
      <c r="AD25" s="66">
        <f t="shared" ca="1" si="23"/>
        <v>17</v>
      </c>
      <c r="AE25" s="70">
        <f t="shared" ca="1" si="81"/>
        <v>7.8000000000000007</v>
      </c>
      <c r="AF25" s="70">
        <f t="shared" ca="1" si="24"/>
        <v>3.9272727272727277</v>
      </c>
      <c r="AG25" s="70">
        <f t="shared" ca="1" si="25"/>
        <v>5.2941176470588234</v>
      </c>
      <c r="AH25" s="70">
        <f t="shared" ca="1" si="26"/>
        <v>43.2</v>
      </c>
      <c r="AI25" s="70">
        <f t="shared" ca="1" si="27"/>
        <v>46.800000000000004</v>
      </c>
      <c r="AJ25" s="70">
        <f t="shared" ca="1" si="28"/>
        <v>90</v>
      </c>
      <c r="AK25" s="67">
        <f ca="1">IF(X25="","",IF(SUM(AB24:AB25)=0,0,IF($X25=$X24,SUM(AI24:AI25)/SUM(AB24:AB25),0)))</f>
        <v>9.09</v>
      </c>
      <c r="AL25" s="67">
        <f ca="1">IF(X25="","",IF(SUM(AC24:AC25)=0,0,IF($X25=$X24,SUM(AH24:AH25)/SUM(AC24:AC25),0)))</f>
        <v>3.1821428571428569</v>
      </c>
      <c r="AM25" s="67">
        <f ca="1">IF(X25="","",IF(SUM(AB24:AC25)=0,0,IF($X25=$X24,SUM(AJ24:AJ25)/SUM(AB24:AC25),0)))</f>
        <v>4.7368421052631575</v>
      </c>
      <c r="AQ25" s="12">
        <f t="shared" si="88"/>
        <v>18</v>
      </c>
      <c r="AR25" s="12">
        <f ca="1">IF($AE25="",0,COUNTIF(INDIRECT(AE$4&amp;":"&amp;AE$5),"&gt;"&amp;AE25)+COUNTIF(AE$8:AE25,AE25))</f>
        <v>3</v>
      </c>
      <c r="AS25" s="12" t="str">
        <f t="shared" ca="1" si="29"/>
        <v>Fulham</v>
      </c>
      <c r="AT25" s="12">
        <f t="shared" ca="1" si="30"/>
        <v>7.8000000000000007</v>
      </c>
      <c r="AV25" s="22">
        <f t="shared" ca="1" si="82"/>
        <v>18</v>
      </c>
      <c r="AW25" s="21" t="str">
        <f t="shared" ca="1" si="31"/>
        <v>Man Utd</v>
      </c>
      <c r="AX25" s="24">
        <f t="shared" ca="1" si="32"/>
        <v>4.4000000000000004</v>
      </c>
      <c r="AZ25" s="12">
        <f t="shared" si="89"/>
        <v>18</v>
      </c>
      <c r="BA25" s="12">
        <f ca="1">IF($AE25="",0,COUNTIF(INDIRECT(AF$4&amp;":"&amp;AF$5),"&gt;"&amp;AF25)+COUNTIF(AF$8:AF25,AF25))</f>
        <v>18</v>
      </c>
      <c r="BB25" s="12" t="str">
        <f t="shared" ca="1" si="33"/>
        <v>Fulham</v>
      </c>
      <c r="BC25" s="12">
        <f t="shared" ca="1" si="34"/>
        <v>3.9272727272727277</v>
      </c>
      <c r="BE25" s="22">
        <f t="shared" ca="1" si="35"/>
        <v>18</v>
      </c>
      <c r="BF25" s="21" t="str">
        <f t="shared" ca="1" si="36"/>
        <v>Fulham</v>
      </c>
      <c r="BG25" s="24">
        <f t="shared" ca="1" si="37"/>
        <v>3.9272727272727277</v>
      </c>
      <c r="BI25" s="12">
        <f t="shared" si="90"/>
        <v>18</v>
      </c>
      <c r="BJ25" s="12">
        <f ca="1">IF($AE25="",0,COUNTIF(INDIRECT(AG$4&amp;":"&amp;AG$5),"&gt;"&amp;AG25)+COUNTIF(AG$8:AG25,AG25))</f>
        <v>3</v>
      </c>
      <c r="BK25" s="12" t="str">
        <f t="shared" ca="1" si="38"/>
        <v>Fulham</v>
      </c>
      <c r="BL25" s="12">
        <f t="shared" ca="1" si="39"/>
        <v>5.2941176470588234</v>
      </c>
      <c r="BN25" s="22">
        <f t="shared" ca="1" si="40"/>
        <v>18</v>
      </c>
      <c r="BO25" s="21" t="str">
        <f t="shared" ca="1" si="41"/>
        <v>Burnley</v>
      </c>
      <c r="BP25" s="24">
        <f t="shared" ca="1" si="42"/>
        <v>3.9130434782608696</v>
      </c>
      <c r="BW25" s="14">
        <v>18</v>
      </c>
      <c r="BX25" s="14">
        <f ca="1">IF($CO25="","",COUNTIF(INDIRECT(CA$4&amp;":"&amp;CA$5),"&gt;"&amp;CA25)+COUNTIF(CA$8:CA25,CA25))</f>
        <v>14</v>
      </c>
      <c r="BY25" s="14" t="str">
        <f t="shared" ca="1" si="43"/>
        <v>West Ham</v>
      </c>
      <c r="BZ25" s="14">
        <f t="shared" ca="1" si="44"/>
        <v>2</v>
      </c>
      <c r="CA25" s="14">
        <f t="shared" ca="1" si="45"/>
        <v>3.2850000000000001</v>
      </c>
      <c r="CB25" s="14" t="str">
        <f t="shared" ca="1" si="46"/>
        <v>X42</v>
      </c>
      <c r="CC25" s="14" t="str">
        <f t="shared" ca="1" si="47"/>
        <v>X43</v>
      </c>
      <c r="CD25" s="14" t="str">
        <f t="shared" ca="1" si="48"/>
        <v>AE42</v>
      </c>
      <c r="CE25" s="14" t="str">
        <f t="shared" ca="1" si="49"/>
        <v>AK43</v>
      </c>
      <c r="CF25" s="14">
        <f t="shared" ca="1" si="50"/>
        <v>44</v>
      </c>
      <c r="CG25" s="14">
        <f t="shared" ca="1" si="11"/>
        <v>45</v>
      </c>
      <c r="CH25" s="20">
        <f t="shared" ca="1" si="51"/>
        <v>18</v>
      </c>
      <c r="CI25" s="19" t="str">
        <f t="shared" ca="1" si="52"/>
        <v>Newcastle</v>
      </c>
      <c r="CJ25" s="20">
        <f t="shared" ca="1" si="53"/>
        <v>2</v>
      </c>
      <c r="CK25" s="26">
        <f t="shared" ca="1" si="54"/>
        <v>2.6709677419354843</v>
      </c>
      <c r="CM25" s="14">
        <v>18</v>
      </c>
      <c r="CN25" s="14">
        <f ca="1">IF($CO25="","",COUNTIF(INDIRECT(CQ$4&amp;":"&amp;CQ$5),"&gt;"&amp;CQ25)+COUNTIF(CQ$8:CQ25,CQ25))</f>
        <v>8</v>
      </c>
      <c r="CO25" s="12" t="str">
        <f t="shared" ca="1" si="55"/>
        <v>West Ham</v>
      </c>
      <c r="CP25" s="12">
        <f t="shared" ca="1" si="56"/>
        <v>2</v>
      </c>
      <c r="CQ25" s="12">
        <f t="shared" ca="1" si="57"/>
        <v>4.0821428571428573</v>
      </c>
      <c r="CR25" s="12" t="str">
        <f t="shared" ca="1" si="58"/>
        <v>X42</v>
      </c>
      <c r="CS25" s="12" t="str">
        <f t="shared" ca="1" si="59"/>
        <v>X43</v>
      </c>
      <c r="CT25" s="12" t="str">
        <f t="shared" ca="1" si="60"/>
        <v>AF42</v>
      </c>
      <c r="CU25" s="12" t="str">
        <f t="shared" ca="1" si="61"/>
        <v>AL43</v>
      </c>
      <c r="CV25" s="14">
        <f t="shared" ca="1" si="62"/>
        <v>44</v>
      </c>
      <c r="CW25" s="12">
        <f t="shared" ca="1" si="12"/>
        <v>45</v>
      </c>
      <c r="CX25" s="20">
        <f t="shared" ca="1" si="83"/>
        <v>18</v>
      </c>
      <c r="CY25" s="19" t="str">
        <f t="shared" ca="1" si="63"/>
        <v>Tottenham</v>
      </c>
      <c r="CZ25" s="20">
        <f t="shared" ca="1" si="64"/>
        <v>2</v>
      </c>
      <c r="DA25" s="26">
        <f t="shared" ca="1" si="65"/>
        <v>2.3884615384615389</v>
      </c>
      <c r="DC25" s="12">
        <v>18</v>
      </c>
      <c r="DD25" s="12">
        <f ca="1">IF($CO25="","",COUNTIF(INDIRECT(DG$4&amp;":"&amp;DG$5),"&gt;"&amp;DG25)+COUNTIF(DG$8:DG25,DG25))</f>
        <v>14</v>
      </c>
      <c r="DE25" s="12" t="str">
        <f t="shared" ca="1" si="66"/>
        <v>West Ham</v>
      </c>
      <c r="DF25" s="12">
        <f t="shared" ca="1" si="67"/>
        <v>2</v>
      </c>
      <c r="DG25" s="12">
        <f t="shared" ca="1" si="68"/>
        <v>3.75</v>
      </c>
      <c r="DH25" s="12" t="str">
        <f t="shared" ca="1" si="69"/>
        <v>X42</v>
      </c>
      <c r="DI25" s="12" t="str">
        <f t="shared" ca="1" si="70"/>
        <v>X43</v>
      </c>
      <c r="DJ25" s="12" t="str">
        <f t="shared" ca="1" si="71"/>
        <v>AG42</v>
      </c>
      <c r="DK25" s="12" t="str">
        <f t="shared" ca="1" si="72"/>
        <v>AM43</v>
      </c>
      <c r="DL25" s="12">
        <f t="shared" ca="1" si="73"/>
        <v>44</v>
      </c>
      <c r="DM25" s="12">
        <f t="shared" ca="1" si="13"/>
        <v>45</v>
      </c>
      <c r="DN25" s="20">
        <f t="shared" ca="1" si="74"/>
        <v>18</v>
      </c>
      <c r="DO25" s="19" t="str">
        <f t="shared" ca="1" si="75"/>
        <v>Wolverhampton</v>
      </c>
      <c r="DP25" s="20">
        <f t="shared" ca="1" si="76"/>
        <v>2</v>
      </c>
      <c r="DQ25" s="46">
        <f t="shared" ca="1" si="77"/>
        <v>3.103448275862069</v>
      </c>
      <c r="DW25" s="86"/>
      <c r="DX25" s="86"/>
      <c r="DY25" s="86"/>
    </row>
    <row r="26" spans="2:129" x14ac:dyDescent="0.25">
      <c r="B26" s="25"/>
      <c r="C26" s="25" t="s">
        <v>33</v>
      </c>
      <c r="D26" s="25"/>
      <c r="E26" s="25"/>
      <c r="I26" s="43" t="str">
        <f t="shared" si="14"/>
        <v>i</v>
      </c>
      <c r="J26" s="43">
        <f t="shared" si="78"/>
        <v>19</v>
      </c>
      <c r="K26" s="44">
        <f ca="1">IF(M26="",0,COUNTIF(INDIRECT($J$4&amp;":"&amp;$J$5),"&lt;"&amp;V26)+COUNTIF($V$8:V26,V26))</f>
        <v>25</v>
      </c>
      <c r="L26" s="45">
        <f t="shared" si="79"/>
        <v>19</v>
      </c>
      <c r="M26" s="41" t="s">
        <v>72</v>
      </c>
      <c r="N26" s="42" t="s">
        <v>2</v>
      </c>
      <c r="O26" s="42">
        <v>54</v>
      </c>
      <c r="P26" s="42">
        <v>10</v>
      </c>
      <c r="Q26" s="42">
        <v>10</v>
      </c>
      <c r="R26" s="45"/>
      <c r="S26" s="45" t="str">
        <f t="shared" si="15"/>
        <v/>
      </c>
      <c r="T26" s="12" t="str">
        <f t="shared" si="16"/>
        <v/>
      </c>
      <c r="V26" s="12" t="str">
        <f t="shared" si="17"/>
        <v>Man Utd</v>
      </c>
      <c r="W26" s="69">
        <f t="shared" ca="1" si="84"/>
        <v>19</v>
      </c>
      <c r="X26" s="71" t="str">
        <f t="shared" ca="1" si="80"/>
        <v>Liverpool</v>
      </c>
      <c r="Y26" s="71">
        <f t="shared" ca="1" si="18"/>
        <v>4</v>
      </c>
      <c r="Z26" s="69" t="str">
        <f t="shared" ca="1" si="19"/>
        <v>A</v>
      </c>
      <c r="AA26" s="69">
        <f t="shared" ca="1" si="20"/>
        <v>36</v>
      </c>
      <c r="AB26" s="66">
        <f t="shared" ca="1" si="21"/>
        <v>7</v>
      </c>
      <c r="AC26" s="66">
        <f t="shared" ca="1" si="22"/>
        <v>12</v>
      </c>
      <c r="AD26" s="66">
        <f t="shared" ca="1" si="23"/>
        <v>19</v>
      </c>
      <c r="AE26" s="70">
        <f t="shared" ca="1" si="81"/>
        <v>8.2285714285714295</v>
      </c>
      <c r="AF26" s="70">
        <f t="shared" ca="1" si="24"/>
        <v>2.6999999999999997</v>
      </c>
      <c r="AG26" s="70">
        <f t="shared" ca="1" si="25"/>
        <v>4.7368421052631575</v>
      </c>
      <c r="AH26" s="70">
        <f t="shared" ca="1" si="26"/>
        <v>32.4</v>
      </c>
      <c r="AI26" s="70">
        <f t="shared" ca="1" si="27"/>
        <v>57.6</v>
      </c>
      <c r="AJ26" s="70">
        <f t="shared" ca="1" si="28"/>
        <v>90</v>
      </c>
      <c r="AK26" s="67">
        <f ca="1">IF(X26="","",IF($X26=$X25,SUM(AI25:AI26)/SUM(AB25:AB26),0))</f>
        <v>0</v>
      </c>
      <c r="AL26" s="67">
        <f ca="1">IF(X26="","",IF($X26=$X25,SUM(AH25:AH26)/SUM(AC25:AC26),0))</f>
        <v>0</v>
      </c>
      <c r="AM26" s="67">
        <f ca="1">IF(X26="","",IF($X26=$X25,180/SUM(AB25:AC26),0))</f>
        <v>0</v>
      </c>
      <c r="AQ26" s="12">
        <f t="shared" si="88"/>
        <v>19</v>
      </c>
      <c r="AR26" s="12">
        <f ca="1">IF($AE26="",0,COUNTIF(INDIRECT(AE$4&amp;":"&amp;AE$5),"&gt;"&amp;AE26)+COUNTIF(AE$8:AE26,AE26))</f>
        <v>2</v>
      </c>
      <c r="AS26" s="12" t="str">
        <f t="shared" ca="1" si="29"/>
        <v>Liverpool</v>
      </c>
      <c r="AT26" s="12">
        <f t="shared" ca="1" si="30"/>
        <v>8.2285714285714295</v>
      </c>
      <c r="AV26" s="22">
        <f t="shared" ca="1" si="82"/>
        <v>19</v>
      </c>
      <c r="AW26" s="21" t="str">
        <f t="shared" ca="1" si="31"/>
        <v>Sheffield Utd</v>
      </c>
      <c r="AX26" s="24">
        <f t="shared" ca="1" si="32"/>
        <v>4.3714285714285719</v>
      </c>
      <c r="AZ26" s="12">
        <f t="shared" si="89"/>
        <v>19</v>
      </c>
      <c r="BA26" s="12">
        <f ca="1">IF($AE26="",0,COUNTIF(INDIRECT(AF$4&amp;":"&amp;AF$5),"&gt;"&amp;AF26)+COUNTIF(AF$8:AF26,AF26))</f>
        <v>32</v>
      </c>
      <c r="BB26" s="12" t="str">
        <f t="shared" ca="1" si="33"/>
        <v>Liverpool</v>
      </c>
      <c r="BC26" s="12">
        <f t="shared" ca="1" si="34"/>
        <v>2.6999999999999997</v>
      </c>
      <c r="BE26" s="22">
        <f t="shared" ca="1" si="35"/>
        <v>19</v>
      </c>
      <c r="BF26" s="21" t="str">
        <f t="shared" ca="1" si="36"/>
        <v>Bournemouth</v>
      </c>
      <c r="BG26" s="24">
        <f t="shared" ca="1" si="37"/>
        <v>3.7800000000000002</v>
      </c>
      <c r="BI26" s="12">
        <f t="shared" si="90"/>
        <v>19</v>
      </c>
      <c r="BJ26" s="12">
        <f ca="1">IF($AE26="",0,COUNTIF(INDIRECT(AG$4&amp;":"&amp;AG$5),"&gt;"&amp;AG26)+COUNTIF(AG$8:AG26,AG26))</f>
        <v>7</v>
      </c>
      <c r="BK26" s="12" t="str">
        <f t="shared" ca="1" si="38"/>
        <v>Liverpool</v>
      </c>
      <c r="BL26" s="12">
        <f t="shared" ca="1" si="39"/>
        <v>4.7368421052631575</v>
      </c>
      <c r="BN26" s="22">
        <f t="shared" ca="1" si="40"/>
        <v>19</v>
      </c>
      <c r="BO26" s="21" t="str">
        <f t="shared" ca="1" si="41"/>
        <v>Notts Forest</v>
      </c>
      <c r="BP26" s="24">
        <f t="shared" ca="1" si="42"/>
        <v>3.9130434782608696</v>
      </c>
      <c r="BW26" s="14">
        <v>19</v>
      </c>
      <c r="BX26" s="14">
        <f ca="1">IF($CO26="","",COUNTIF(INDIRECT(CA$4&amp;":"&amp;CA$5),"&gt;"&amp;CA26)+COUNTIF(CA$8:CA26,CA26))</f>
        <v>5</v>
      </c>
      <c r="BY26" s="14" t="str">
        <f t="shared" ca="1" si="43"/>
        <v>Wolverhampton</v>
      </c>
      <c r="BZ26" s="14">
        <f t="shared" ca="1" si="44"/>
        <v>2</v>
      </c>
      <c r="CA26" s="14">
        <f t="shared" ca="1" si="45"/>
        <v>4.41</v>
      </c>
      <c r="CB26" s="14" t="str">
        <f t="shared" ca="1" si="46"/>
        <v>X44</v>
      </c>
      <c r="CC26" s="14" t="str">
        <f t="shared" ca="1" si="47"/>
        <v>X45</v>
      </c>
      <c r="CD26" s="14" t="str">
        <f t="shared" ca="1" si="48"/>
        <v>AE44</v>
      </c>
      <c r="CE26" s="14" t="str">
        <f t="shared" ca="1" si="49"/>
        <v>AK45</v>
      </c>
      <c r="CF26" s="14">
        <f t="shared" ca="1" si="50"/>
        <v>46</v>
      </c>
      <c r="CG26" s="14">
        <f t="shared" ca="1" si="11"/>
        <v>47</v>
      </c>
      <c r="CH26" s="20">
        <f t="shared" ca="1" si="51"/>
        <v>19</v>
      </c>
      <c r="CI26" s="19" t="str">
        <f t="shared" ca="1" si="52"/>
        <v>Luton</v>
      </c>
      <c r="CJ26" s="20">
        <f t="shared" ca="1" si="53"/>
        <v>2</v>
      </c>
      <c r="CK26" s="26">
        <f t="shared" ca="1" si="54"/>
        <v>2.25</v>
      </c>
      <c r="CM26" s="14">
        <v>19</v>
      </c>
      <c r="CN26" s="14">
        <f ca="1">IF($CO26="","",COUNTIF(INDIRECT(CQ$4&amp;":"&amp;CQ$5),"&gt;"&amp;CQ26)+COUNTIF(CQ$8:CQ26,CQ26))</f>
        <v>17</v>
      </c>
      <c r="CO26" s="12" t="str">
        <f t="shared" ca="1" si="55"/>
        <v>Wolverhampton</v>
      </c>
      <c r="CP26" s="12">
        <f t="shared" ca="1" si="56"/>
        <v>2</v>
      </c>
      <c r="CQ26" s="12">
        <f t="shared" ca="1" si="57"/>
        <v>2.4157894736842107</v>
      </c>
      <c r="CR26" s="12" t="str">
        <f t="shared" ca="1" si="58"/>
        <v>X44</v>
      </c>
      <c r="CS26" s="12" t="str">
        <f t="shared" ca="1" si="59"/>
        <v>X45</v>
      </c>
      <c r="CT26" s="12" t="str">
        <f t="shared" ca="1" si="60"/>
        <v>AF44</v>
      </c>
      <c r="CU26" s="12" t="str">
        <f t="shared" ca="1" si="61"/>
        <v>AL45</v>
      </c>
      <c r="CV26" s="14">
        <f t="shared" ca="1" si="62"/>
        <v>46</v>
      </c>
      <c r="CW26" s="12">
        <f t="shared" ca="1" si="12"/>
        <v>47</v>
      </c>
      <c r="CX26" s="20">
        <f t="shared" ca="1" si="83"/>
        <v>19</v>
      </c>
      <c r="CY26" s="19" t="str">
        <f t="shared" ca="1" si="63"/>
        <v>Brighton</v>
      </c>
      <c r="CZ26" s="20">
        <f t="shared" ca="1" si="64"/>
        <v>2</v>
      </c>
      <c r="DA26" s="26">
        <f t="shared" ca="1" si="65"/>
        <v>2.3029411764705885</v>
      </c>
      <c r="DC26" s="12">
        <v>19</v>
      </c>
      <c r="DD26" s="12">
        <f ca="1">IF($CO26="","",COUNTIF(INDIRECT(DG$4&amp;":"&amp;DG$5),"&gt;"&amp;DG26)+COUNTIF(DG$8:DG26,DG26))</f>
        <v>18</v>
      </c>
      <c r="DE26" s="12" t="str">
        <f t="shared" ca="1" si="66"/>
        <v>Wolverhampton</v>
      </c>
      <c r="DF26" s="12">
        <f t="shared" ca="1" si="67"/>
        <v>2</v>
      </c>
      <c r="DG26" s="12">
        <f t="shared" ca="1" si="68"/>
        <v>3.103448275862069</v>
      </c>
      <c r="DH26" s="12" t="str">
        <f t="shared" ca="1" si="69"/>
        <v>X44</v>
      </c>
      <c r="DI26" s="12" t="str">
        <f t="shared" ca="1" si="70"/>
        <v>X45</v>
      </c>
      <c r="DJ26" s="12" t="str">
        <f t="shared" ca="1" si="71"/>
        <v>AG44</v>
      </c>
      <c r="DK26" s="12" t="str">
        <f t="shared" ca="1" si="72"/>
        <v>AM45</v>
      </c>
      <c r="DL26" s="12">
        <f t="shared" ca="1" si="73"/>
        <v>46</v>
      </c>
      <c r="DM26" s="12">
        <f t="shared" ca="1" si="13"/>
        <v>47</v>
      </c>
      <c r="DN26" s="20">
        <f t="shared" ca="1" si="74"/>
        <v>19</v>
      </c>
      <c r="DO26" s="19" t="str">
        <f t="shared" ca="1" si="75"/>
        <v>Brighton</v>
      </c>
      <c r="DP26" s="20">
        <f t="shared" ca="1" si="76"/>
        <v>2</v>
      </c>
      <c r="DQ26" s="46">
        <f t="shared" ca="1" si="77"/>
        <v>2.8571428571428572</v>
      </c>
      <c r="DW26" s="86"/>
      <c r="DX26" s="86"/>
      <c r="DY26" s="86"/>
    </row>
    <row r="27" spans="2:129" x14ac:dyDescent="0.25">
      <c r="B27" s="25"/>
      <c r="C27" s="25" t="s">
        <v>39</v>
      </c>
      <c r="D27" s="25"/>
      <c r="E27" s="25"/>
      <c r="I27" s="43" t="str">
        <f t="shared" si="14"/>
        <v>i</v>
      </c>
      <c r="J27" s="43">
        <f t="shared" si="78"/>
        <v>20</v>
      </c>
      <c r="K27" s="44">
        <f ca="1">IF(M27="",0,COUNTIF(INDIRECT($J$4&amp;":"&amp;$J$5),"&lt;"&amp;V27)+COUNTIF($V$8:V27,V27))</f>
        <v>10</v>
      </c>
      <c r="L27" s="45">
        <f t="shared" si="79"/>
        <v>20</v>
      </c>
      <c r="M27" s="41" t="s">
        <v>60</v>
      </c>
      <c r="N27" s="42" t="s">
        <v>40</v>
      </c>
      <c r="O27" s="42">
        <v>66</v>
      </c>
      <c r="P27" s="42">
        <v>9</v>
      </c>
      <c r="Q27" s="42">
        <v>14</v>
      </c>
      <c r="R27" s="45"/>
      <c r="S27" s="45" t="str">
        <f t="shared" si="15"/>
        <v/>
      </c>
      <c r="T27" s="12" t="str">
        <f t="shared" si="16"/>
        <v/>
      </c>
      <c r="V27" s="12" t="str">
        <f t="shared" si="17"/>
        <v>Burnley</v>
      </c>
      <c r="W27" s="69">
        <f t="shared" ca="1" si="84"/>
        <v>20</v>
      </c>
      <c r="X27" s="71" t="str">
        <f t="shared" ca="1" si="80"/>
        <v>Liverpool</v>
      </c>
      <c r="Y27" s="71">
        <f t="shared" ca="1" si="18"/>
        <v>37</v>
      </c>
      <c r="Z27" s="69" t="str">
        <f t="shared" ca="1" si="19"/>
        <v>H</v>
      </c>
      <c r="AA27" s="69">
        <f t="shared" ca="1" si="20"/>
        <v>41</v>
      </c>
      <c r="AB27" s="66">
        <f t="shared" ca="1" si="21"/>
        <v>11</v>
      </c>
      <c r="AC27" s="66">
        <f t="shared" ca="1" si="22"/>
        <v>15</v>
      </c>
      <c r="AD27" s="66">
        <f t="shared" ca="1" si="23"/>
        <v>26</v>
      </c>
      <c r="AE27" s="70">
        <f t="shared" ca="1" si="81"/>
        <v>4.8272727272727272</v>
      </c>
      <c r="AF27" s="70">
        <f t="shared" ca="1" si="24"/>
        <v>2.46</v>
      </c>
      <c r="AG27" s="70">
        <f t="shared" ca="1" si="25"/>
        <v>3.4615384615384617</v>
      </c>
      <c r="AH27" s="70">
        <f t="shared" ca="1" si="26"/>
        <v>36.9</v>
      </c>
      <c r="AI27" s="70">
        <f t="shared" ca="1" si="27"/>
        <v>53.1</v>
      </c>
      <c r="AJ27" s="70">
        <f t="shared" ca="1" si="28"/>
        <v>90</v>
      </c>
      <c r="AK27" s="67">
        <f ca="1">IF(X27="","",IF(SUM(AB26:AB27)=0,0,IF($X27=$X26,SUM(AI26:AI27)/SUM(AB26:AB27),0)))</f>
        <v>6.15</v>
      </c>
      <c r="AL27" s="67">
        <f ca="1">IF(X27="","",IF(SUM(AC26:AC27)=0,0,IF($X27=$X26,SUM(AH26:AH27)/SUM(AC26:AC27),0)))</f>
        <v>2.5666666666666664</v>
      </c>
      <c r="AM27" s="67">
        <f ca="1">IF(X27="","",IF(SUM(AB26:AC27)=0,0,IF($X27=$X26,SUM(AJ26:AJ27)/SUM(AB26:AC27),0)))</f>
        <v>4</v>
      </c>
      <c r="AQ27" s="12">
        <f t="shared" si="88"/>
        <v>20</v>
      </c>
      <c r="AR27" s="12">
        <f ca="1">IF($AE27="",0,COUNTIF(INDIRECT(AE$4&amp;":"&amp;AE$5),"&gt;"&amp;AE27)+COUNTIF(AE$8:AE27,AE27))</f>
        <v>10</v>
      </c>
      <c r="AS27" s="12" t="str">
        <f t="shared" ca="1" si="29"/>
        <v>Liverpool</v>
      </c>
      <c r="AT27" s="12">
        <f t="shared" ca="1" si="30"/>
        <v>4.8272727272727272</v>
      </c>
      <c r="AV27" s="22">
        <f t="shared" ca="1" si="82"/>
        <v>20</v>
      </c>
      <c r="AW27" s="21" t="str">
        <f t="shared" ca="1" si="31"/>
        <v>Chelsea</v>
      </c>
      <c r="AX27" s="24">
        <f t="shared" ca="1" si="32"/>
        <v>4.3363636363636369</v>
      </c>
      <c r="AZ27" s="12">
        <f t="shared" si="89"/>
        <v>20</v>
      </c>
      <c r="BA27" s="12">
        <f ca="1">IF($AE27="",0,COUNTIF(INDIRECT(AF$4&amp;":"&amp;AF$5),"&gt;"&amp;AF27)+COUNTIF(AF$8:AF27,AF27))</f>
        <v>34</v>
      </c>
      <c r="BB27" s="12" t="str">
        <f t="shared" ca="1" si="33"/>
        <v>Liverpool</v>
      </c>
      <c r="BC27" s="12">
        <f t="shared" ca="1" si="34"/>
        <v>2.46</v>
      </c>
      <c r="BE27" s="22">
        <f t="shared" ca="1" si="35"/>
        <v>20</v>
      </c>
      <c r="BF27" s="21" t="str">
        <f t="shared" ca="1" si="36"/>
        <v>Arsenal</v>
      </c>
      <c r="BG27" s="24">
        <f t="shared" ca="1" si="37"/>
        <v>3.6750000000000003</v>
      </c>
      <c r="BI27" s="12">
        <f t="shared" si="90"/>
        <v>20</v>
      </c>
      <c r="BJ27" s="12">
        <f ca="1">IF($AE27="",0,COUNTIF(INDIRECT(AG$4&amp;":"&amp;AG$5),"&gt;"&amp;AG27)+COUNTIF(AG$8:AG27,AG27))</f>
        <v>26</v>
      </c>
      <c r="BK27" s="12" t="str">
        <f t="shared" ca="1" si="38"/>
        <v>Liverpool</v>
      </c>
      <c r="BL27" s="12">
        <f t="shared" ca="1" si="39"/>
        <v>3.4615384615384617</v>
      </c>
      <c r="BN27" s="22">
        <f t="shared" ca="1" si="40"/>
        <v>20</v>
      </c>
      <c r="BO27" s="21" t="str">
        <f t="shared" ca="1" si="41"/>
        <v>West Ham</v>
      </c>
      <c r="BP27" s="24">
        <f t="shared" ca="1" si="42"/>
        <v>3.9130434782608696</v>
      </c>
      <c r="DW27" s="86"/>
      <c r="DX27" s="86"/>
      <c r="DY27" s="86"/>
    </row>
    <row r="28" spans="2:129" x14ac:dyDescent="0.25">
      <c r="B28" s="25"/>
      <c r="C28" s="25" t="s">
        <v>57</v>
      </c>
      <c r="D28" s="25"/>
      <c r="E28" s="25"/>
      <c r="I28" s="43" t="str">
        <f t="shared" si="14"/>
        <v>i</v>
      </c>
      <c r="J28" s="43">
        <f t="shared" si="78"/>
        <v>21</v>
      </c>
      <c r="K28" s="44">
        <f ca="1">IF(M28="",0,COUNTIF(INDIRECT($J$4&amp;":"&amp;$J$5),"&lt;"&amp;V28)+COUNTIF($V$8:V28,V28))</f>
        <v>16</v>
      </c>
      <c r="L28" s="45">
        <f t="shared" si="79"/>
        <v>21</v>
      </c>
      <c r="M28" s="41" t="s">
        <v>49</v>
      </c>
      <c r="N28" s="42" t="s">
        <v>2</v>
      </c>
      <c r="O28" s="42">
        <v>69</v>
      </c>
      <c r="P28" s="42">
        <v>14</v>
      </c>
      <c r="Q28" s="42">
        <v>13</v>
      </c>
      <c r="R28" s="45"/>
      <c r="S28" s="45" t="str">
        <f t="shared" si="15"/>
        <v/>
      </c>
      <c r="T28" s="12" t="str">
        <f t="shared" si="16"/>
        <v/>
      </c>
      <c r="V28" s="12" t="str">
        <f t="shared" si="17"/>
        <v>Everton</v>
      </c>
      <c r="W28" s="69">
        <f t="shared" ca="1" si="84"/>
        <v>21</v>
      </c>
      <c r="X28" s="71" t="str">
        <f t="shared" ca="1" si="80"/>
        <v>Luton</v>
      </c>
      <c r="Y28" s="71">
        <f t="shared" ca="1" si="18"/>
        <v>10</v>
      </c>
      <c r="Z28" s="69" t="str">
        <f t="shared" ca="1" si="19"/>
        <v>H</v>
      </c>
      <c r="AA28" s="69">
        <f t="shared" ca="1" si="20"/>
        <v>71</v>
      </c>
      <c r="AB28" s="66">
        <f t="shared" ca="1" si="21"/>
        <v>11</v>
      </c>
      <c r="AC28" s="66">
        <f t="shared" ca="1" si="22"/>
        <v>10</v>
      </c>
      <c r="AD28" s="66">
        <f t="shared" ca="1" si="23"/>
        <v>21</v>
      </c>
      <c r="AE28" s="70">
        <f t="shared" ca="1" si="81"/>
        <v>2.372727272727273</v>
      </c>
      <c r="AF28" s="70">
        <f t="shared" ca="1" si="24"/>
        <v>6.39</v>
      </c>
      <c r="AG28" s="70">
        <f t="shared" ca="1" si="25"/>
        <v>4.2857142857142856</v>
      </c>
      <c r="AH28" s="70">
        <f t="shared" ca="1" si="26"/>
        <v>63.9</v>
      </c>
      <c r="AI28" s="70">
        <f t="shared" ca="1" si="27"/>
        <v>26.1</v>
      </c>
      <c r="AJ28" s="70">
        <f t="shared" ca="1" si="28"/>
        <v>90</v>
      </c>
      <c r="AK28" s="67">
        <f ca="1">IF(X28="","",IF($X28=$X27,SUM(AI27:AI28)/SUM(AB27:AB28),0))</f>
        <v>0</v>
      </c>
      <c r="AL28" s="67">
        <f ca="1">IF(X28="","",IF($X28=$X27,SUM(AH27:AH28)/SUM(AC27:AC28),0))</f>
        <v>0</v>
      </c>
      <c r="AM28" s="67">
        <f ca="1">IF(X28="","",IF($X28=$X27,180/SUM(AB27:AC28),0))</f>
        <v>0</v>
      </c>
      <c r="AQ28" s="12">
        <f t="shared" si="88"/>
        <v>21</v>
      </c>
      <c r="AR28" s="12">
        <f ca="1">IF($AE28="",0,COUNTIF(INDIRECT(AE$4&amp;":"&amp;AE$5),"&gt;"&amp;AE28)+COUNTIF(AE$8:AE28,AE28))</f>
        <v>32</v>
      </c>
      <c r="AS28" s="12" t="str">
        <f t="shared" ca="1" si="29"/>
        <v>Luton</v>
      </c>
      <c r="AT28" s="12">
        <f t="shared" ca="1" si="30"/>
        <v>2.372727272727273</v>
      </c>
      <c r="AV28" s="22">
        <f t="shared" ca="1" si="82"/>
        <v>21</v>
      </c>
      <c r="AW28" s="21" t="str">
        <f t="shared" ca="1" si="31"/>
        <v>Tottenham</v>
      </c>
      <c r="AX28" s="24">
        <f t="shared" ca="1" si="32"/>
        <v>4.292307692307693</v>
      </c>
      <c r="AZ28" s="12">
        <f t="shared" si="89"/>
        <v>21</v>
      </c>
      <c r="BA28" s="12">
        <f ca="1">IF($AE28="",0,COUNTIF(INDIRECT(AF$4&amp;":"&amp;AF$5),"&gt;"&amp;AF28)+COUNTIF(AF$8:AF28,AF28))</f>
        <v>4</v>
      </c>
      <c r="BB28" s="12" t="str">
        <f t="shared" ca="1" si="33"/>
        <v>Luton</v>
      </c>
      <c r="BC28" s="12">
        <f t="shared" ca="1" si="34"/>
        <v>6.39</v>
      </c>
      <c r="BE28" s="22">
        <f t="shared" ca="1" si="35"/>
        <v>21</v>
      </c>
      <c r="BF28" s="21" t="str">
        <f t="shared" ca="1" si="36"/>
        <v>Bournemouth</v>
      </c>
      <c r="BG28" s="24">
        <f t="shared" ca="1" si="37"/>
        <v>3.6</v>
      </c>
      <c r="BI28" s="12">
        <f t="shared" si="90"/>
        <v>21</v>
      </c>
      <c r="BJ28" s="12">
        <f ca="1">IF($AE28="",0,COUNTIF(INDIRECT(AG$4&amp;":"&amp;AG$5),"&gt;"&amp;AG28)+COUNTIF(AG$8:AG28,AG28))</f>
        <v>13</v>
      </c>
      <c r="BK28" s="12" t="str">
        <f t="shared" ca="1" si="38"/>
        <v>Luton</v>
      </c>
      <c r="BL28" s="12">
        <f t="shared" ca="1" si="39"/>
        <v>4.2857142857142856</v>
      </c>
      <c r="BN28" s="22">
        <f t="shared" ca="1" si="40"/>
        <v>21</v>
      </c>
      <c r="BO28" s="21" t="str">
        <f t="shared" ca="1" si="41"/>
        <v>Tottenham</v>
      </c>
      <c r="BP28" s="24">
        <f t="shared" ca="1" si="42"/>
        <v>3.75</v>
      </c>
      <c r="DW28" s="86"/>
      <c r="DX28" s="86"/>
      <c r="DY28" s="86"/>
    </row>
    <row r="29" spans="2:129" x14ac:dyDescent="0.25">
      <c r="B29" s="25"/>
      <c r="C29" s="25" t="s">
        <v>34</v>
      </c>
      <c r="D29" s="25"/>
      <c r="E29" s="25"/>
      <c r="I29" s="43" t="str">
        <f t="shared" si="14"/>
        <v>i</v>
      </c>
      <c r="J29" s="43">
        <f t="shared" si="78"/>
        <v>22</v>
      </c>
      <c r="K29" s="44">
        <f ca="1">IF(M29="",0,COUNTIF(INDIRECT($J$4&amp;":"&amp;$J$5),"&lt;"&amp;V29)+COUNTIF($V$8:V29,V29))</f>
        <v>28</v>
      </c>
      <c r="L29" s="45">
        <f t="shared" si="79"/>
        <v>22</v>
      </c>
      <c r="M29" s="41" t="s">
        <v>42</v>
      </c>
      <c r="N29" s="42" t="s">
        <v>40</v>
      </c>
      <c r="O29" s="42">
        <v>61</v>
      </c>
      <c r="P29" s="42">
        <v>14</v>
      </c>
      <c r="Q29" s="42">
        <v>12</v>
      </c>
      <c r="R29" s="45"/>
      <c r="S29" s="45" t="str">
        <f t="shared" si="15"/>
        <v/>
      </c>
      <c r="T29" s="12" t="str">
        <f t="shared" si="16"/>
        <v/>
      </c>
      <c r="V29" s="12" t="str">
        <f t="shared" si="17"/>
        <v>Newcastle</v>
      </c>
      <c r="W29" s="69">
        <f t="shared" ca="1" si="84"/>
        <v>22</v>
      </c>
      <c r="X29" s="71" t="str">
        <f t="shared" ca="1" si="80"/>
        <v>Luton</v>
      </c>
      <c r="Y29" s="71">
        <f t="shared" ca="1" si="18"/>
        <v>27</v>
      </c>
      <c r="Z29" s="69" t="str">
        <f t="shared" ca="1" si="19"/>
        <v>A</v>
      </c>
      <c r="AA29" s="69">
        <f t="shared" ca="1" si="20"/>
        <v>54</v>
      </c>
      <c r="AB29" s="66">
        <f t="shared" ca="1" si="21"/>
        <v>19</v>
      </c>
      <c r="AC29" s="66">
        <f t="shared" ca="1" si="22"/>
        <v>8</v>
      </c>
      <c r="AD29" s="66">
        <f t="shared" ca="1" si="23"/>
        <v>27</v>
      </c>
      <c r="AE29" s="70">
        <f t="shared" ca="1" si="81"/>
        <v>2.1789473684210527</v>
      </c>
      <c r="AF29" s="70">
        <f t="shared" ca="1" si="24"/>
        <v>6.0750000000000002</v>
      </c>
      <c r="AG29" s="70">
        <f t="shared" ca="1" si="25"/>
        <v>3.3333333333333335</v>
      </c>
      <c r="AH29" s="70">
        <f t="shared" ca="1" si="26"/>
        <v>48.6</v>
      </c>
      <c r="AI29" s="70">
        <f t="shared" ca="1" si="27"/>
        <v>41.4</v>
      </c>
      <c r="AJ29" s="70">
        <f t="shared" ca="1" si="28"/>
        <v>90</v>
      </c>
      <c r="AK29" s="67">
        <f ca="1">IF(X29="","",IF(SUM(AB28:AB29)=0,0,IF($X29=$X28,SUM(AI28:AI29)/SUM(AB28:AB29),0)))</f>
        <v>2.25</v>
      </c>
      <c r="AL29" s="67">
        <f ca="1">IF(X29="","",IF(SUM(AC28:AC29)=0,0,IF($X29=$X28,SUM(AH28:AH29)/SUM(AC28:AC29),0)))</f>
        <v>6.25</v>
      </c>
      <c r="AM29" s="67">
        <f ca="1">IF(X29="","",IF(SUM(AB28:AC29)=0,0,IF($X29=$X28,SUM(AJ28:AJ29)/SUM(AB28:AC29),0)))</f>
        <v>3.75</v>
      </c>
      <c r="AQ29" s="12">
        <f t="shared" si="88"/>
        <v>22</v>
      </c>
      <c r="AR29" s="12">
        <f ca="1">IF($AE29="",0,COUNTIF(INDIRECT(AE$4&amp;":"&amp;AE$5),"&gt;"&amp;AE29)+COUNTIF(AE$8:AE29,AE29))</f>
        <v>35</v>
      </c>
      <c r="AS29" s="12" t="str">
        <f t="shared" ca="1" si="29"/>
        <v>Luton</v>
      </c>
      <c r="AT29" s="12">
        <f t="shared" ca="1" si="30"/>
        <v>2.1789473684210527</v>
      </c>
      <c r="AV29" s="22">
        <f t="shared" ca="1" si="82"/>
        <v>22</v>
      </c>
      <c r="AW29" s="21" t="str">
        <f t="shared" ca="1" si="31"/>
        <v>Wolverhampton</v>
      </c>
      <c r="AX29" s="24">
        <f t="shared" ca="1" si="32"/>
        <v>4.2545454545454549</v>
      </c>
      <c r="AZ29" s="12">
        <f t="shared" si="89"/>
        <v>22</v>
      </c>
      <c r="BA29" s="12">
        <f ca="1">IF($AE29="",0,COUNTIF(INDIRECT(AF$4&amp;":"&amp;AF$5),"&gt;"&amp;AF29)+COUNTIF(AF$8:AF29,AF29))</f>
        <v>5</v>
      </c>
      <c r="BB29" s="12" t="str">
        <f t="shared" ca="1" si="33"/>
        <v>Luton</v>
      </c>
      <c r="BC29" s="12">
        <f t="shared" ca="1" si="34"/>
        <v>6.0750000000000002</v>
      </c>
      <c r="BE29" s="22">
        <f t="shared" ca="1" si="35"/>
        <v>22</v>
      </c>
      <c r="BF29" s="21" t="str">
        <f t="shared" ca="1" si="36"/>
        <v>Newcastle</v>
      </c>
      <c r="BG29" s="24">
        <f t="shared" ca="1" si="37"/>
        <v>3.5250000000000004</v>
      </c>
      <c r="BI29" s="12">
        <f t="shared" si="90"/>
        <v>22</v>
      </c>
      <c r="BJ29" s="12">
        <f ca="1">IF($AE29="",0,COUNTIF(INDIRECT(AG$4&amp;":"&amp;AG$5),"&gt;"&amp;AG29)+COUNTIF(AG$8:AG29,AG29))</f>
        <v>33</v>
      </c>
      <c r="BK29" s="12" t="str">
        <f t="shared" ca="1" si="38"/>
        <v>Luton</v>
      </c>
      <c r="BL29" s="12">
        <f t="shared" ca="1" si="39"/>
        <v>3.3333333333333335</v>
      </c>
      <c r="BN29" s="22">
        <f t="shared" ca="1" si="40"/>
        <v>22</v>
      </c>
      <c r="BO29" s="21" t="str">
        <f t="shared" ca="1" si="41"/>
        <v>Brentford</v>
      </c>
      <c r="BP29" s="24">
        <f t="shared" ca="1" si="42"/>
        <v>3.6</v>
      </c>
      <c r="DW29" s="86"/>
      <c r="DX29" s="86"/>
      <c r="DY29" s="86"/>
    </row>
    <row r="30" spans="2:129" x14ac:dyDescent="0.25">
      <c r="B30" s="25"/>
      <c r="C30" s="25" t="s">
        <v>77</v>
      </c>
      <c r="D30" s="25"/>
      <c r="E30" s="25"/>
      <c r="I30" s="43" t="str">
        <f t="shared" si="14"/>
        <v>i</v>
      </c>
      <c r="J30" s="43">
        <f t="shared" si="78"/>
        <v>23</v>
      </c>
      <c r="K30" s="44">
        <f ca="1">IF(M30="",0,COUNTIF(INDIRECT($J$4&amp;":"&amp;$J$5),"&lt;"&amp;V30)+COUNTIF($V$8:V30,V30))</f>
        <v>32</v>
      </c>
      <c r="L30" s="45">
        <f t="shared" ref="L30:L45" si="91">IF(M30="","",J30)</f>
        <v>23</v>
      </c>
      <c r="M30" s="41" t="s">
        <v>71</v>
      </c>
      <c r="N30" s="42" t="s">
        <v>2</v>
      </c>
      <c r="O30" s="42">
        <v>66</v>
      </c>
      <c r="P30" s="42">
        <v>7</v>
      </c>
      <c r="Q30" s="42">
        <v>10</v>
      </c>
      <c r="R30" s="45"/>
      <c r="S30" s="45" t="str">
        <f t="shared" si="15"/>
        <v/>
      </c>
      <c r="T30" s="12" t="str">
        <f t="shared" si="16"/>
        <v/>
      </c>
      <c r="V30" s="12" t="str">
        <f t="shared" si="17"/>
        <v>Sheffield Utd</v>
      </c>
      <c r="W30" s="69">
        <f t="shared" ca="1" si="84"/>
        <v>23</v>
      </c>
      <c r="X30" s="71" t="str">
        <f t="shared" ca="1" si="80"/>
        <v>Man City</v>
      </c>
      <c r="Y30" s="71">
        <f t="shared" ca="1" si="18"/>
        <v>15</v>
      </c>
      <c r="Z30" s="69" t="str">
        <f t="shared" ca="1" si="19"/>
        <v>H</v>
      </c>
      <c r="AA30" s="69">
        <f t="shared" ca="1" si="20"/>
        <v>46</v>
      </c>
      <c r="AB30" s="66">
        <f t="shared" ca="1" si="21"/>
        <v>13</v>
      </c>
      <c r="AC30" s="66">
        <f t="shared" ca="1" si="22"/>
        <v>13</v>
      </c>
      <c r="AD30" s="66">
        <f t="shared" ca="1" si="23"/>
        <v>26</v>
      </c>
      <c r="AE30" s="70">
        <f t="shared" ca="1" si="81"/>
        <v>3.7384615384615385</v>
      </c>
      <c r="AF30" s="70">
        <f t="shared" ca="1" si="24"/>
        <v>3.1846153846153844</v>
      </c>
      <c r="AG30" s="70">
        <f t="shared" ca="1" si="25"/>
        <v>3.4615384615384617</v>
      </c>
      <c r="AH30" s="70">
        <f t="shared" ca="1" si="26"/>
        <v>41.4</v>
      </c>
      <c r="AI30" s="70">
        <f t="shared" ca="1" si="27"/>
        <v>48.6</v>
      </c>
      <c r="AJ30" s="70">
        <f t="shared" ca="1" si="28"/>
        <v>90</v>
      </c>
      <c r="AK30" s="67">
        <f ca="1">IF(X30="","",IF($X30=$X29,SUM(AI29:AI30)/SUM(AB29:AB30),0))</f>
        <v>0</v>
      </c>
      <c r="AL30" s="67">
        <f ca="1">IF(X30="","",IF($X30=$X29,SUM(AH29:AH30)/SUM(AC29:AC30),0))</f>
        <v>0</v>
      </c>
      <c r="AM30" s="67">
        <f ca="1">IF(X30="","",IF($X30=$X29,180/SUM(AB29:AC30),0))</f>
        <v>0</v>
      </c>
      <c r="AQ30" s="12">
        <f t="shared" si="88"/>
        <v>23</v>
      </c>
      <c r="AR30" s="12">
        <f ca="1">IF($AE30="",0,COUNTIF(INDIRECT(AE$4&amp;":"&amp;AE$5),"&gt;"&amp;AE30)+COUNTIF(AE$8:AE30,AE30))</f>
        <v>24</v>
      </c>
      <c r="AS30" s="12" t="str">
        <f t="shared" ca="1" si="29"/>
        <v>Man City</v>
      </c>
      <c r="AT30" s="12">
        <f t="shared" ca="1" si="30"/>
        <v>3.7384615384615385</v>
      </c>
      <c r="AV30" s="22">
        <f t="shared" ca="1" si="82"/>
        <v>23</v>
      </c>
      <c r="AW30" s="21" t="str">
        <f t="shared" ca="1" si="31"/>
        <v>Man Utd</v>
      </c>
      <c r="AX30" s="24">
        <f t="shared" ca="1" si="32"/>
        <v>4.1399999999999997</v>
      </c>
      <c r="AZ30" s="12">
        <f t="shared" si="89"/>
        <v>23</v>
      </c>
      <c r="BA30" s="12">
        <f ca="1">IF($AE30="",0,COUNTIF(INDIRECT(AF$4&amp;":"&amp;AF$5),"&gt;"&amp;AF30)+COUNTIF(AF$8:AF30,AF30))</f>
        <v>29</v>
      </c>
      <c r="BB30" s="12" t="str">
        <f t="shared" ca="1" si="33"/>
        <v>Man City</v>
      </c>
      <c r="BC30" s="12">
        <f t="shared" ca="1" si="34"/>
        <v>3.1846153846153844</v>
      </c>
      <c r="BE30" s="22">
        <f t="shared" ca="1" si="35"/>
        <v>23</v>
      </c>
      <c r="BF30" s="21" t="str">
        <f t="shared" ca="1" si="36"/>
        <v>West Ham</v>
      </c>
      <c r="BG30" s="24">
        <f t="shared" ca="1" si="37"/>
        <v>3.48</v>
      </c>
      <c r="BI30" s="12">
        <f t="shared" si="90"/>
        <v>23</v>
      </c>
      <c r="BJ30" s="12">
        <f ca="1">IF($AE30="",0,COUNTIF(INDIRECT(AG$4&amp;":"&amp;AG$5),"&gt;"&amp;AG30)+COUNTIF(AG$8:AG30,AG30))</f>
        <v>27</v>
      </c>
      <c r="BK30" s="12" t="str">
        <f t="shared" ca="1" si="38"/>
        <v>Man City</v>
      </c>
      <c r="BL30" s="12">
        <f t="shared" ca="1" si="39"/>
        <v>3.4615384615384617</v>
      </c>
      <c r="BN30" s="22">
        <f t="shared" ca="1" si="40"/>
        <v>23</v>
      </c>
      <c r="BO30" s="21" t="str">
        <f t="shared" ca="1" si="41"/>
        <v>West Ham</v>
      </c>
      <c r="BP30" s="24">
        <f t="shared" ca="1" si="42"/>
        <v>3.6</v>
      </c>
      <c r="DW30" s="86"/>
      <c r="DX30" s="86"/>
      <c r="DY30" s="86"/>
    </row>
    <row r="31" spans="2:129" x14ac:dyDescent="0.25">
      <c r="B31" s="25"/>
      <c r="C31" s="25" t="s">
        <v>58</v>
      </c>
      <c r="D31" s="25"/>
      <c r="E31" s="25"/>
      <c r="I31" s="43" t="str">
        <f t="shared" si="14"/>
        <v>i</v>
      </c>
      <c r="J31" s="43">
        <f t="shared" si="78"/>
        <v>24</v>
      </c>
      <c r="K31" s="44">
        <f ca="1">IF(M31="",0,COUNTIF(INDIRECT($J$4&amp;":"&amp;$J$5),"&lt;"&amp;V31)+COUNTIF($V$8:V31,V31))</f>
        <v>26</v>
      </c>
      <c r="L31" s="45">
        <f t="shared" si="91"/>
        <v>24</v>
      </c>
      <c r="M31" s="41" t="s">
        <v>72</v>
      </c>
      <c r="N31" s="42" t="s">
        <v>40</v>
      </c>
      <c r="O31" s="42">
        <v>56</v>
      </c>
      <c r="P31" s="42">
        <v>9</v>
      </c>
      <c r="Q31" s="42">
        <v>7</v>
      </c>
      <c r="R31" s="45"/>
      <c r="S31" s="45" t="str">
        <f t="shared" si="15"/>
        <v/>
      </c>
      <c r="T31" s="12" t="str">
        <f t="shared" si="16"/>
        <v/>
      </c>
      <c r="V31" s="12" t="str">
        <f t="shared" si="17"/>
        <v>Man Utd</v>
      </c>
      <c r="W31" s="69">
        <f t="shared" ca="1" si="84"/>
        <v>24</v>
      </c>
      <c r="X31" s="71" t="str">
        <f t="shared" ca="1" si="80"/>
        <v>Man City</v>
      </c>
      <c r="Y31" s="71">
        <f t="shared" ca="1" si="18"/>
        <v>31</v>
      </c>
      <c r="Z31" s="69" t="str">
        <f t="shared" ca="1" si="19"/>
        <v>A</v>
      </c>
      <c r="AA31" s="69">
        <f t="shared" ca="1" si="20"/>
        <v>32</v>
      </c>
      <c r="AB31" s="66">
        <f t="shared" ca="1" si="21"/>
        <v>13</v>
      </c>
      <c r="AC31" s="66">
        <f t="shared" ca="1" si="22"/>
        <v>6</v>
      </c>
      <c r="AD31" s="66">
        <f t="shared" ca="1" si="23"/>
        <v>19</v>
      </c>
      <c r="AE31" s="70">
        <f t="shared" ca="1" si="81"/>
        <v>4.7076923076923078</v>
      </c>
      <c r="AF31" s="70">
        <f t="shared" ca="1" si="24"/>
        <v>4.8</v>
      </c>
      <c r="AG31" s="70">
        <f t="shared" ca="1" si="25"/>
        <v>4.7368421052631575</v>
      </c>
      <c r="AH31" s="70">
        <f t="shared" ca="1" si="26"/>
        <v>28.8</v>
      </c>
      <c r="AI31" s="70">
        <f t="shared" ca="1" si="27"/>
        <v>61.2</v>
      </c>
      <c r="AJ31" s="70">
        <f t="shared" ca="1" si="28"/>
        <v>90</v>
      </c>
      <c r="AK31" s="67">
        <f ca="1">IF(X31="","",IF(SUM(AB30:AB31)=0,0,IF($X31=$X30,SUM(AI30:AI31)/SUM(AB30:AB31),0)))</f>
        <v>4.2230769230769232</v>
      </c>
      <c r="AL31" s="67">
        <f ca="1">IF(X31="","",IF(SUM(AC30:AC31)=0,0,IF($X31=$X30,SUM(AH30:AH31)/SUM(AC30:AC31),0)))</f>
        <v>3.6947368421052631</v>
      </c>
      <c r="AM31" s="67">
        <f ca="1">IF(X31="","",IF(SUM(AB30:AC31)=0,0,IF($X31=$X30,SUM(AJ30:AJ31)/SUM(AB30:AC31),0)))</f>
        <v>4</v>
      </c>
      <c r="AQ31" s="12">
        <f t="shared" si="88"/>
        <v>24</v>
      </c>
      <c r="AR31" s="12">
        <f ca="1">IF($AE31="",0,COUNTIF(INDIRECT(AE$4&amp;":"&amp;AE$5),"&gt;"&amp;AE31)+COUNTIF(AE$8:AE31,AE31))</f>
        <v>13</v>
      </c>
      <c r="AS31" s="12" t="str">
        <f t="shared" ca="1" si="29"/>
        <v>Man City</v>
      </c>
      <c r="AT31" s="12">
        <f t="shared" ca="1" si="30"/>
        <v>4.7076923076923078</v>
      </c>
      <c r="AV31" s="22">
        <f t="shared" ca="1" si="82"/>
        <v>24</v>
      </c>
      <c r="AW31" s="21" t="str">
        <f t="shared" ca="1" si="31"/>
        <v>Man City</v>
      </c>
      <c r="AX31" s="24">
        <f t="shared" ca="1" si="32"/>
        <v>3.7384615384615385</v>
      </c>
      <c r="AZ31" s="12">
        <f t="shared" si="89"/>
        <v>24</v>
      </c>
      <c r="BA31" s="12">
        <f ca="1">IF($AE31="",0,COUNTIF(INDIRECT(AF$4&amp;":"&amp;AF$5),"&gt;"&amp;AF31)+COUNTIF(AF$8:AF31,AF31))</f>
        <v>9</v>
      </c>
      <c r="BB31" s="12" t="str">
        <f t="shared" ca="1" si="33"/>
        <v>Man City</v>
      </c>
      <c r="BC31" s="12">
        <f t="shared" ca="1" si="34"/>
        <v>4.8</v>
      </c>
      <c r="BE31" s="22">
        <f t="shared" ca="1" si="35"/>
        <v>24</v>
      </c>
      <c r="BF31" s="21" t="str">
        <f t="shared" ca="1" si="36"/>
        <v>Brighton</v>
      </c>
      <c r="BG31" s="24">
        <f t="shared" ca="1" si="37"/>
        <v>3.3230769230769233</v>
      </c>
      <c r="BI31" s="12">
        <f t="shared" si="90"/>
        <v>24</v>
      </c>
      <c r="BJ31" s="12">
        <f ca="1">IF($AE31="",0,COUNTIF(INDIRECT(AG$4&amp;":"&amp;AG$5),"&gt;"&amp;AG31)+COUNTIF(AG$8:AG31,AG31))</f>
        <v>8</v>
      </c>
      <c r="BK31" s="12" t="str">
        <f t="shared" ca="1" si="38"/>
        <v>Man City</v>
      </c>
      <c r="BL31" s="12">
        <f t="shared" ca="1" si="39"/>
        <v>4.7368421052631575</v>
      </c>
      <c r="BN31" s="22">
        <f t="shared" ca="1" si="40"/>
        <v>24</v>
      </c>
      <c r="BO31" s="21" t="str">
        <f t="shared" ca="1" si="41"/>
        <v>Bournemouth</v>
      </c>
      <c r="BP31" s="24">
        <f t="shared" ca="1" si="42"/>
        <v>3.4615384615384617</v>
      </c>
      <c r="DW31" s="86"/>
      <c r="DX31" s="86"/>
      <c r="DY31" s="86"/>
    </row>
    <row r="32" spans="2:129" x14ac:dyDescent="0.25">
      <c r="B32" s="25"/>
      <c r="C32" s="25"/>
      <c r="D32" s="25"/>
      <c r="E32" s="25"/>
      <c r="I32" s="43" t="str">
        <f t="shared" si="14"/>
        <v>i</v>
      </c>
      <c r="J32" s="43">
        <f t="shared" si="78"/>
        <v>25</v>
      </c>
      <c r="K32" s="44">
        <f ca="1">IF(M32="",0,COUNTIF(INDIRECT($J$4&amp;":"&amp;$J$5),"&lt;"&amp;V32)+COUNTIF($V$8:V32,V32))</f>
        <v>18</v>
      </c>
      <c r="L32" s="45">
        <f t="shared" si="91"/>
        <v>25</v>
      </c>
      <c r="M32" s="41" t="s">
        <v>48</v>
      </c>
      <c r="N32" s="42" t="s">
        <v>2</v>
      </c>
      <c r="O32" s="42">
        <v>48</v>
      </c>
      <c r="P32" s="42">
        <v>6</v>
      </c>
      <c r="Q32" s="42">
        <v>11</v>
      </c>
      <c r="R32" s="45"/>
      <c r="S32" s="45" t="str">
        <f t="shared" si="15"/>
        <v/>
      </c>
      <c r="T32" s="12" t="str">
        <f t="shared" si="16"/>
        <v/>
      </c>
      <c r="V32" s="12" t="str">
        <f t="shared" si="17"/>
        <v>Fulham</v>
      </c>
      <c r="W32" s="69">
        <f t="shared" ca="1" si="84"/>
        <v>25</v>
      </c>
      <c r="X32" s="71" t="str">
        <f t="shared" ca="1" si="80"/>
        <v>Man Utd</v>
      </c>
      <c r="Y32" s="71">
        <f t="shared" ca="1" si="18"/>
        <v>19</v>
      </c>
      <c r="Z32" s="69" t="str">
        <f t="shared" ca="1" si="19"/>
        <v>A</v>
      </c>
      <c r="AA32" s="69">
        <f t="shared" ca="1" si="20"/>
        <v>54</v>
      </c>
      <c r="AB32" s="66">
        <f t="shared" ca="1" si="21"/>
        <v>10</v>
      </c>
      <c r="AC32" s="66">
        <f t="shared" ca="1" si="22"/>
        <v>10</v>
      </c>
      <c r="AD32" s="66">
        <f t="shared" ca="1" si="23"/>
        <v>20</v>
      </c>
      <c r="AE32" s="70">
        <f t="shared" ca="1" si="81"/>
        <v>4.1399999999999997</v>
      </c>
      <c r="AF32" s="70">
        <f t="shared" ca="1" si="24"/>
        <v>4.8600000000000003</v>
      </c>
      <c r="AG32" s="70">
        <f t="shared" ca="1" si="25"/>
        <v>4.5</v>
      </c>
      <c r="AH32" s="70">
        <f t="shared" ca="1" si="26"/>
        <v>48.6</v>
      </c>
      <c r="AI32" s="70">
        <f t="shared" ca="1" si="27"/>
        <v>41.4</v>
      </c>
      <c r="AJ32" s="70">
        <f t="shared" ca="1" si="28"/>
        <v>90</v>
      </c>
      <c r="AK32" s="67">
        <f ca="1">IF(X32="","",IF($X32=$X31,SUM(AI31:AI32)/SUM(AB31:AB32),0))</f>
        <v>0</v>
      </c>
      <c r="AL32" s="67">
        <f ca="1">IF(X32="","",IF($X32=$X31,SUM(AH31:AH32)/SUM(AC31:AC32),0))</f>
        <v>0</v>
      </c>
      <c r="AM32" s="67">
        <f ca="1">IF(X32="","",IF($X32=$X31,180/SUM(AB31:AC32),0))</f>
        <v>0</v>
      </c>
      <c r="AQ32" s="12">
        <f t="shared" si="88"/>
        <v>25</v>
      </c>
      <c r="AR32" s="12">
        <f ca="1">IF($AE32="",0,COUNTIF(INDIRECT(AE$4&amp;":"&amp;AE$5),"&gt;"&amp;AE32)+COUNTIF(AE$8:AE32,AE32))</f>
        <v>23</v>
      </c>
      <c r="AS32" s="12" t="str">
        <f t="shared" ca="1" si="29"/>
        <v>Man Utd</v>
      </c>
      <c r="AT32" s="12">
        <f t="shared" ca="1" si="30"/>
        <v>4.1399999999999997</v>
      </c>
      <c r="AV32" s="22">
        <f t="shared" ca="1" si="82"/>
        <v>25</v>
      </c>
      <c r="AW32" s="21" t="str">
        <f t="shared" ca="1" si="31"/>
        <v>Arsenal</v>
      </c>
      <c r="AX32" s="24">
        <f t="shared" ca="1" si="32"/>
        <v>3.4312499999999999</v>
      </c>
      <c r="AZ32" s="12">
        <f t="shared" si="89"/>
        <v>25</v>
      </c>
      <c r="BA32" s="12">
        <f ca="1">IF($AE32="",0,COUNTIF(INDIRECT(AF$4&amp;":"&amp;AF$5),"&gt;"&amp;AF32)+COUNTIF(AF$8:AF32,AF32))</f>
        <v>8</v>
      </c>
      <c r="BB32" s="12" t="str">
        <f t="shared" ca="1" si="33"/>
        <v>Man Utd</v>
      </c>
      <c r="BC32" s="12">
        <f t="shared" ca="1" si="34"/>
        <v>4.8600000000000003</v>
      </c>
      <c r="BE32" s="22">
        <f t="shared" ca="1" si="35"/>
        <v>25</v>
      </c>
      <c r="BF32" s="21" t="str">
        <f t="shared" ca="1" si="36"/>
        <v>Notts Forest</v>
      </c>
      <c r="BG32" s="24">
        <f t="shared" ca="1" si="37"/>
        <v>3.2625000000000002</v>
      </c>
      <c r="BI32" s="12">
        <f t="shared" si="90"/>
        <v>25</v>
      </c>
      <c r="BJ32" s="12">
        <f ca="1">IF($AE32="",0,COUNTIF(INDIRECT(AG$4&amp;":"&amp;AG$5),"&gt;"&amp;AG32)+COUNTIF(AG$8:AG32,AG32))</f>
        <v>11</v>
      </c>
      <c r="BK32" s="12" t="str">
        <f t="shared" ca="1" si="38"/>
        <v>Man Utd</v>
      </c>
      <c r="BL32" s="12">
        <f t="shared" ca="1" si="39"/>
        <v>4.5</v>
      </c>
      <c r="BN32" s="22">
        <f t="shared" ca="1" si="40"/>
        <v>25</v>
      </c>
      <c r="BO32" s="21" t="str">
        <f t="shared" ca="1" si="41"/>
        <v>Brentford</v>
      </c>
      <c r="BP32" s="24">
        <f t="shared" ca="1" si="42"/>
        <v>3.4615384615384617</v>
      </c>
      <c r="DW32" s="86"/>
      <c r="DX32" s="86"/>
      <c r="DY32" s="86"/>
    </row>
    <row r="33" spans="2:129" x14ac:dyDescent="0.25">
      <c r="B33" s="25"/>
      <c r="C33" s="50" t="s">
        <v>55</v>
      </c>
      <c r="D33" s="25"/>
      <c r="E33" s="25"/>
      <c r="I33" s="43" t="str">
        <f t="shared" si="14"/>
        <v>i</v>
      </c>
      <c r="J33" s="43">
        <f t="shared" si="78"/>
        <v>26</v>
      </c>
      <c r="K33" s="44">
        <f ca="1">IF(M33="",0,COUNTIF(INDIRECT($J$4&amp;":"&amp;$J$5),"&lt;"&amp;V33)+COUNTIF($V$8:V33,V33))</f>
        <v>30</v>
      </c>
      <c r="L33" s="45">
        <f t="shared" si="91"/>
        <v>26</v>
      </c>
      <c r="M33" s="41" t="s">
        <v>44</v>
      </c>
      <c r="N33" s="42" t="s">
        <v>40</v>
      </c>
      <c r="O33" s="42">
        <v>58</v>
      </c>
      <c r="P33" s="42">
        <v>7</v>
      </c>
      <c r="Q33" s="42">
        <v>16</v>
      </c>
      <c r="R33" s="45"/>
      <c r="S33" s="45" t="str">
        <f t="shared" si="15"/>
        <v/>
      </c>
      <c r="T33" s="12" t="str">
        <f t="shared" si="16"/>
        <v/>
      </c>
      <c r="V33" s="12" t="str">
        <f t="shared" si="17"/>
        <v>Notts Forest</v>
      </c>
      <c r="W33" s="69">
        <f t="shared" ca="1" si="84"/>
        <v>26</v>
      </c>
      <c r="X33" s="71" t="str">
        <f t="shared" ca="1" si="80"/>
        <v>Man Utd</v>
      </c>
      <c r="Y33" s="71">
        <f t="shared" ca="1" si="18"/>
        <v>24</v>
      </c>
      <c r="Z33" s="69" t="str">
        <f t="shared" ca="1" si="19"/>
        <v>H</v>
      </c>
      <c r="AA33" s="69">
        <f t="shared" ca="1" si="20"/>
        <v>56</v>
      </c>
      <c r="AB33" s="66">
        <f t="shared" ca="1" si="21"/>
        <v>9</v>
      </c>
      <c r="AC33" s="66">
        <f t="shared" ca="1" si="22"/>
        <v>7</v>
      </c>
      <c r="AD33" s="66">
        <f t="shared" ca="1" si="23"/>
        <v>16</v>
      </c>
      <c r="AE33" s="70">
        <f t="shared" ca="1" si="81"/>
        <v>4.4000000000000004</v>
      </c>
      <c r="AF33" s="70">
        <f t="shared" ca="1" si="24"/>
        <v>7.2</v>
      </c>
      <c r="AG33" s="70">
        <f t="shared" ca="1" si="25"/>
        <v>5.625</v>
      </c>
      <c r="AH33" s="70">
        <f t="shared" ca="1" si="26"/>
        <v>50.4</v>
      </c>
      <c r="AI33" s="70">
        <f t="shared" ca="1" si="27"/>
        <v>39.6</v>
      </c>
      <c r="AJ33" s="70">
        <f t="shared" ca="1" si="28"/>
        <v>90</v>
      </c>
      <c r="AK33" s="67">
        <f ca="1">IF(X33="","",IF(SUM(AB32:AB33)=0,0,IF($X33=$X32,SUM(AI32:AI33)/SUM(AB32:AB33),0)))</f>
        <v>4.2631578947368425</v>
      </c>
      <c r="AL33" s="67">
        <f ca="1">IF(X33="","",IF(SUM(AC32:AC33)=0,0,IF($X33=$X32,SUM(AH32:AH33)/SUM(AC32:AC33),0)))</f>
        <v>5.8235294117647056</v>
      </c>
      <c r="AM33" s="67">
        <f ca="1">IF(X33="","",IF(SUM(AB32:AC33)=0,0,IF($X33=$X32,SUM(AJ32:AJ33)/SUM(AB32:AC33),0)))</f>
        <v>5</v>
      </c>
      <c r="AQ33" s="12">
        <f t="shared" si="88"/>
        <v>26</v>
      </c>
      <c r="AR33" s="12">
        <f ca="1">IF($AE33="",0,COUNTIF(INDIRECT(AE$4&amp;":"&amp;AE$5),"&gt;"&amp;AE33)+COUNTIF(AE$8:AE33,AE33))</f>
        <v>18</v>
      </c>
      <c r="AS33" s="12" t="str">
        <f t="shared" ca="1" si="29"/>
        <v>Man Utd</v>
      </c>
      <c r="AT33" s="12">
        <f t="shared" ca="1" si="30"/>
        <v>4.4000000000000004</v>
      </c>
      <c r="AV33" s="22">
        <f t="shared" ca="1" si="82"/>
        <v>26</v>
      </c>
      <c r="AW33" s="21" t="str">
        <f t="shared" ca="1" si="31"/>
        <v>Burnley</v>
      </c>
      <c r="AX33" s="24">
        <f t="shared" ca="1" si="32"/>
        <v>3.4000000000000004</v>
      </c>
      <c r="AZ33" s="12">
        <f t="shared" si="89"/>
        <v>26</v>
      </c>
      <c r="BA33" s="12">
        <f ca="1">IF($AE33="",0,COUNTIF(INDIRECT(AF$4&amp;":"&amp;AF$5),"&gt;"&amp;AF33)+COUNTIF(AF$8:AF33,AF33))</f>
        <v>2</v>
      </c>
      <c r="BB33" s="12" t="str">
        <f t="shared" ca="1" si="33"/>
        <v>Man Utd</v>
      </c>
      <c r="BC33" s="12">
        <f t="shared" ca="1" si="34"/>
        <v>7.2</v>
      </c>
      <c r="BE33" s="22">
        <f t="shared" ca="1" si="35"/>
        <v>26</v>
      </c>
      <c r="BF33" s="21" t="str">
        <f t="shared" ca="1" si="36"/>
        <v>Burnley</v>
      </c>
      <c r="BG33" s="24">
        <f t="shared" ca="1" si="37"/>
        <v>3.2250000000000001</v>
      </c>
      <c r="BI33" s="12">
        <f t="shared" ref="BI33:BI45" si="92">BI32+1</f>
        <v>26</v>
      </c>
      <c r="BJ33" s="12">
        <f ca="1">IF($AE33="",0,COUNTIF(INDIRECT(AG$4&amp;":"&amp;AG$5),"&gt;"&amp;AG33)+COUNTIF(AG$8:AG33,AG33))</f>
        <v>2</v>
      </c>
      <c r="BK33" s="12" t="str">
        <f t="shared" ca="1" si="38"/>
        <v>Man Utd</v>
      </c>
      <c r="BL33" s="12">
        <f t="shared" ca="1" si="39"/>
        <v>5.625</v>
      </c>
      <c r="BN33" s="22">
        <f t="shared" ca="1" si="40"/>
        <v>26</v>
      </c>
      <c r="BO33" s="21" t="str">
        <f t="shared" ca="1" si="41"/>
        <v>Liverpool</v>
      </c>
      <c r="BP33" s="24">
        <f t="shared" ca="1" si="42"/>
        <v>3.4615384615384617</v>
      </c>
      <c r="DW33" s="86"/>
      <c r="DX33" s="86"/>
      <c r="DY33" s="86"/>
    </row>
    <row r="34" spans="2:129" x14ac:dyDescent="0.25">
      <c r="B34" s="25"/>
      <c r="C34" s="25" t="s">
        <v>64</v>
      </c>
      <c r="D34" s="50"/>
      <c r="E34" s="50"/>
      <c r="F34" s="82"/>
      <c r="G34" s="82"/>
      <c r="I34" s="43" t="str">
        <f t="shared" si="14"/>
        <v>i</v>
      </c>
      <c r="J34" s="43">
        <f t="shared" si="78"/>
        <v>27</v>
      </c>
      <c r="K34" s="44">
        <f ca="1">IF(M34="",0,COUNTIF(INDIRECT($J$4&amp;":"&amp;$J$5),"&lt;"&amp;V34)+COUNTIF($V$8:V34,V34))</f>
        <v>22</v>
      </c>
      <c r="L34" s="45">
        <f t="shared" si="91"/>
        <v>27</v>
      </c>
      <c r="M34" s="41" t="s">
        <v>61</v>
      </c>
      <c r="N34" s="42" t="s">
        <v>2</v>
      </c>
      <c r="O34" s="42">
        <v>54</v>
      </c>
      <c r="P34" s="42">
        <v>19</v>
      </c>
      <c r="Q34" s="42">
        <v>8</v>
      </c>
      <c r="R34" s="45"/>
      <c r="S34" s="45" t="str">
        <f t="shared" si="15"/>
        <v/>
      </c>
      <c r="T34" s="12" t="str">
        <f t="shared" si="16"/>
        <v/>
      </c>
      <c r="V34" s="12" t="str">
        <f t="shared" si="17"/>
        <v>Luton</v>
      </c>
      <c r="W34" s="69">
        <f t="shared" ca="1" si="84"/>
        <v>27</v>
      </c>
      <c r="X34" s="71" t="str">
        <f t="shared" ca="1" si="80"/>
        <v>Newcastle</v>
      </c>
      <c r="Y34" s="71">
        <f t="shared" ca="1" si="18"/>
        <v>1</v>
      </c>
      <c r="Z34" s="69" t="str">
        <f t="shared" ca="1" si="19"/>
        <v>A</v>
      </c>
      <c r="AA34" s="69">
        <f t="shared" ca="1" si="20"/>
        <v>47</v>
      </c>
      <c r="AB34" s="66">
        <f t="shared" ca="1" si="21"/>
        <v>17</v>
      </c>
      <c r="AC34" s="66">
        <f t="shared" ca="1" si="22"/>
        <v>12</v>
      </c>
      <c r="AD34" s="66">
        <f t="shared" ca="1" si="23"/>
        <v>29</v>
      </c>
      <c r="AE34" s="70">
        <f t="shared" ca="1" si="81"/>
        <v>2.8058823529411767</v>
      </c>
      <c r="AF34" s="70">
        <f t="shared" ca="1" si="24"/>
        <v>3.5250000000000004</v>
      </c>
      <c r="AG34" s="70">
        <f t="shared" ca="1" si="25"/>
        <v>3.103448275862069</v>
      </c>
      <c r="AH34" s="70">
        <f t="shared" ca="1" si="26"/>
        <v>42.300000000000004</v>
      </c>
      <c r="AI34" s="70">
        <f t="shared" ca="1" si="27"/>
        <v>47.7</v>
      </c>
      <c r="AJ34" s="70">
        <f t="shared" ca="1" si="28"/>
        <v>90</v>
      </c>
      <c r="AK34" s="67">
        <f ca="1">IF(X34="","",IF($X34=$X33,SUM(AI33:AI34)/SUM(AB33:AB34),0))</f>
        <v>0</v>
      </c>
      <c r="AL34" s="67">
        <f ca="1">IF(X34="","",IF($X34=$X33,SUM(AH33:AH34)/SUM(AC33:AC34),0))</f>
        <v>0</v>
      </c>
      <c r="AM34" s="67">
        <f ca="1">IF(X34="","",IF($X34=$X33,180/SUM(AB33:AC34),0))</f>
        <v>0</v>
      </c>
      <c r="AQ34" s="12">
        <f t="shared" si="88"/>
        <v>27</v>
      </c>
      <c r="AR34" s="12">
        <f ca="1">IF($AE34="",0,COUNTIF(INDIRECT(AE$4&amp;":"&amp;AE$5),"&gt;"&amp;AE34)+COUNTIF(AE$8:AE34,AE34))</f>
        <v>29</v>
      </c>
      <c r="AS34" s="12" t="str">
        <f t="shared" ca="1" si="29"/>
        <v>Newcastle</v>
      </c>
      <c r="AT34" s="12">
        <f t="shared" ca="1" si="30"/>
        <v>2.8058823529411767</v>
      </c>
      <c r="AV34" s="22">
        <f t="shared" ca="1" si="82"/>
        <v>27</v>
      </c>
      <c r="AW34" s="21" t="str">
        <f t="shared" ca="1" si="31"/>
        <v>Bournemouth</v>
      </c>
      <c r="AX34" s="24">
        <f t="shared" ca="1" si="32"/>
        <v>3.0272727272727278</v>
      </c>
      <c r="AZ34" s="12">
        <f t="shared" si="89"/>
        <v>27</v>
      </c>
      <c r="BA34" s="12">
        <f ca="1">IF($AE34="",0,COUNTIF(INDIRECT(AF$4&amp;":"&amp;AF$5),"&gt;"&amp;AF34)+COUNTIF(AF$8:AF34,AF34))</f>
        <v>22</v>
      </c>
      <c r="BB34" s="12" t="str">
        <f t="shared" ca="1" si="33"/>
        <v>Newcastle</v>
      </c>
      <c r="BC34" s="12">
        <f t="shared" ca="1" si="34"/>
        <v>3.5250000000000004</v>
      </c>
      <c r="BE34" s="22">
        <f t="shared" ca="1" si="35"/>
        <v>27</v>
      </c>
      <c r="BF34" s="21" t="str">
        <f t="shared" ca="1" si="36"/>
        <v>Brentford</v>
      </c>
      <c r="BG34" s="24">
        <f t="shared" ca="1" si="37"/>
        <v>3.2210526315789476</v>
      </c>
      <c r="BI34" s="12">
        <f t="shared" si="92"/>
        <v>27</v>
      </c>
      <c r="BJ34" s="12">
        <f ca="1">IF($AE34="",0,COUNTIF(INDIRECT(AG$4&amp;":"&amp;AG$5),"&gt;"&amp;AG34)+COUNTIF(AG$8:AG34,AG34))</f>
        <v>36</v>
      </c>
      <c r="BK34" s="12" t="str">
        <f t="shared" ca="1" si="38"/>
        <v>Newcastle</v>
      </c>
      <c r="BL34" s="12">
        <f t="shared" ca="1" si="39"/>
        <v>3.103448275862069</v>
      </c>
      <c r="BN34" s="22">
        <f t="shared" ca="1" si="40"/>
        <v>27</v>
      </c>
      <c r="BO34" s="21" t="str">
        <f t="shared" ca="1" si="41"/>
        <v>Man City</v>
      </c>
      <c r="BP34" s="24">
        <f t="shared" ca="1" si="42"/>
        <v>3.4615384615384617</v>
      </c>
      <c r="DW34" s="86"/>
      <c r="DX34" s="86"/>
      <c r="DY34" s="86"/>
    </row>
    <row r="35" spans="2:129" x14ac:dyDescent="0.25">
      <c r="B35" s="25"/>
      <c r="C35" s="25" t="s">
        <v>65</v>
      </c>
      <c r="D35" s="25"/>
      <c r="E35" s="25"/>
      <c r="I35" s="43" t="str">
        <f t="shared" si="14"/>
        <v>i</v>
      </c>
      <c r="J35" s="43">
        <f t="shared" si="78"/>
        <v>28</v>
      </c>
      <c r="K35" s="44">
        <f ca="1">IF(M35="",0,COUNTIF(INDIRECT($J$4&amp;":"&amp;$J$5),"&lt;"&amp;V35)+COUNTIF($V$8:V35,V35))</f>
        <v>34</v>
      </c>
      <c r="L35" s="45">
        <f t="shared" si="91"/>
        <v>28</v>
      </c>
      <c r="M35" s="41" t="s">
        <v>51</v>
      </c>
      <c r="N35" s="42" t="s">
        <v>40</v>
      </c>
      <c r="O35" s="42">
        <v>31</v>
      </c>
      <c r="P35" s="42">
        <v>11</v>
      </c>
      <c r="Q35" s="42">
        <v>15</v>
      </c>
      <c r="R35" s="45"/>
      <c r="S35" s="45" t="str">
        <f t="shared" si="15"/>
        <v/>
      </c>
      <c r="T35" s="12" t="str">
        <f t="shared" si="16"/>
        <v/>
      </c>
      <c r="V35" s="12" t="str">
        <f t="shared" si="17"/>
        <v>Tottenham</v>
      </c>
      <c r="W35" s="69">
        <f t="shared" ca="1" si="84"/>
        <v>28</v>
      </c>
      <c r="X35" s="71" t="str">
        <f t="shared" ca="1" si="80"/>
        <v>Newcastle</v>
      </c>
      <c r="Y35" s="71">
        <f t="shared" ca="1" si="18"/>
        <v>22</v>
      </c>
      <c r="Z35" s="69" t="str">
        <f t="shared" ca="1" si="19"/>
        <v>H</v>
      </c>
      <c r="AA35" s="69">
        <f t="shared" ca="1" si="20"/>
        <v>61</v>
      </c>
      <c r="AB35" s="66">
        <f t="shared" ca="1" si="21"/>
        <v>14</v>
      </c>
      <c r="AC35" s="66">
        <f t="shared" ca="1" si="22"/>
        <v>12</v>
      </c>
      <c r="AD35" s="66">
        <f t="shared" ca="1" si="23"/>
        <v>26</v>
      </c>
      <c r="AE35" s="70">
        <f t="shared" ca="1" si="81"/>
        <v>2.5071428571428571</v>
      </c>
      <c r="AF35" s="70">
        <f t="shared" ca="1" si="24"/>
        <v>4.5750000000000002</v>
      </c>
      <c r="AG35" s="70">
        <f t="shared" ca="1" si="25"/>
        <v>3.4615384615384617</v>
      </c>
      <c r="AH35" s="70">
        <f t="shared" ca="1" si="26"/>
        <v>54.9</v>
      </c>
      <c r="AI35" s="70">
        <f t="shared" ca="1" si="27"/>
        <v>35.1</v>
      </c>
      <c r="AJ35" s="70">
        <f t="shared" ca="1" si="28"/>
        <v>90</v>
      </c>
      <c r="AK35" s="67">
        <f ca="1">IF(X35="","",IF(SUM(AB34:AB35)=0,0,IF($X35=$X34,SUM(AI34:AI35)/SUM(AB34:AB35),0)))</f>
        <v>2.6709677419354843</v>
      </c>
      <c r="AL35" s="67">
        <f ca="1">IF(X35="","",IF(SUM(AC34:AC35)=0,0,IF($X35=$X34,SUM(AH34:AH35)/SUM(AC34:AC35),0)))</f>
        <v>4.05</v>
      </c>
      <c r="AM35" s="67">
        <f ca="1">IF(X35="","",IF(SUM(AB34:AC35)=0,0,IF($X35=$X34,SUM(AJ34:AJ35)/SUM(AB34:AC35),0)))</f>
        <v>3.2727272727272729</v>
      </c>
      <c r="AQ35" s="12">
        <f t="shared" si="88"/>
        <v>28</v>
      </c>
      <c r="AR35" s="12">
        <f ca="1">IF($AE35="",0,COUNTIF(INDIRECT(AE$4&amp;":"&amp;AE$5),"&gt;"&amp;AE35)+COUNTIF(AE$8:AE35,AE35))</f>
        <v>31</v>
      </c>
      <c r="AS35" s="12" t="str">
        <f t="shared" ca="1" si="29"/>
        <v>Newcastle</v>
      </c>
      <c r="AT35" s="12">
        <f t="shared" ca="1" si="30"/>
        <v>2.5071428571428571</v>
      </c>
      <c r="AV35" s="22">
        <f t="shared" ca="1" si="82"/>
        <v>28</v>
      </c>
      <c r="AW35" s="21" t="str">
        <f t="shared" ca="1" si="31"/>
        <v>Brighton</v>
      </c>
      <c r="AX35" s="24">
        <f t="shared" ca="1" si="32"/>
        <v>2.8894736842105262</v>
      </c>
      <c r="AZ35" s="12">
        <f t="shared" si="89"/>
        <v>28</v>
      </c>
      <c r="BA35" s="12">
        <f ca="1">IF($AE35="",0,COUNTIF(INDIRECT(AF$4&amp;":"&amp;AF$5),"&gt;"&amp;AF35)+COUNTIF(AF$8:AF35,AF35))</f>
        <v>13</v>
      </c>
      <c r="BB35" s="12" t="str">
        <f t="shared" ca="1" si="33"/>
        <v>Newcastle</v>
      </c>
      <c r="BC35" s="12">
        <f t="shared" ca="1" si="34"/>
        <v>4.5750000000000002</v>
      </c>
      <c r="BE35" s="22">
        <f t="shared" ca="1" si="35"/>
        <v>28</v>
      </c>
      <c r="BF35" s="21" t="str">
        <f t="shared" ca="1" si="36"/>
        <v>Arsenal</v>
      </c>
      <c r="BG35" s="24">
        <f t="shared" ca="1" si="37"/>
        <v>3.1909090909090909</v>
      </c>
      <c r="BI35" s="12">
        <f t="shared" si="92"/>
        <v>28</v>
      </c>
      <c r="BJ35" s="12">
        <f ca="1">IF($AE35="",0,COUNTIF(INDIRECT(AG$4&amp;":"&amp;AG$5),"&gt;"&amp;AG35)+COUNTIF(AG$8:AG35,AG35))</f>
        <v>28</v>
      </c>
      <c r="BK35" s="12" t="str">
        <f t="shared" ca="1" si="38"/>
        <v>Newcastle</v>
      </c>
      <c r="BL35" s="12">
        <f t="shared" ca="1" si="39"/>
        <v>3.4615384615384617</v>
      </c>
      <c r="BN35" s="22">
        <f t="shared" ca="1" si="40"/>
        <v>28</v>
      </c>
      <c r="BO35" s="21" t="str">
        <f t="shared" ca="1" si="41"/>
        <v>Newcastle</v>
      </c>
      <c r="BP35" s="24">
        <f t="shared" ca="1" si="42"/>
        <v>3.4615384615384617</v>
      </c>
      <c r="DW35" s="86"/>
      <c r="DX35" s="86"/>
      <c r="DY35" s="86"/>
    </row>
    <row r="36" spans="2:129" x14ac:dyDescent="0.25">
      <c r="B36" s="25"/>
      <c r="C36" s="25"/>
      <c r="D36" s="25"/>
      <c r="E36" s="25"/>
      <c r="I36" s="43" t="str">
        <f t="shared" si="14"/>
        <v>i</v>
      </c>
      <c r="J36" s="43">
        <f t="shared" si="78"/>
        <v>29</v>
      </c>
      <c r="K36" s="44">
        <f ca="1">IF(M36="",0,COUNTIF(INDIRECT($J$4&amp;":"&amp;$J$5),"&lt;"&amp;V36)+COUNTIF($V$8:V36,V36))</f>
        <v>36</v>
      </c>
      <c r="L36" s="45">
        <f t="shared" si="91"/>
        <v>29</v>
      </c>
      <c r="M36" s="41" t="s">
        <v>41</v>
      </c>
      <c r="N36" s="42" t="s">
        <v>2</v>
      </c>
      <c r="O36" s="42">
        <v>69</v>
      </c>
      <c r="P36" s="42">
        <v>12</v>
      </c>
      <c r="Q36" s="42">
        <v>13</v>
      </c>
      <c r="R36" s="45"/>
      <c r="S36" s="45" t="str">
        <f t="shared" si="15"/>
        <v/>
      </c>
      <c r="T36" s="12" t="str">
        <f t="shared" si="16"/>
        <v/>
      </c>
      <c r="V36" s="12" t="str">
        <f t="shared" si="17"/>
        <v>West Ham</v>
      </c>
      <c r="W36" s="69">
        <f t="shared" ca="1" si="84"/>
        <v>29</v>
      </c>
      <c r="X36" s="71" t="str">
        <f t="shared" ca="1" si="80"/>
        <v>Notts Forest</v>
      </c>
      <c r="Y36" s="71">
        <f t="shared" ca="1" si="18"/>
        <v>11</v>
      </c>
      <c r="Z36" s="69" t="str">
        <f t="shared" ca="1" si="19"/>
        <v>A</v>
      </c>
      <c r="AA36" s="69">
        <f t="shared" ca="1" si="20"/>
        <v>74</v>
      </c>
      <c r="AB36" s="66">
        <f t="shared" ca="1" si="21"/>
        <v>9</v>
      </c>
      <c r="AC36" s="66">
        <f t="shared" ca="1" si="22"/>
        <v>6</v>
      </c>
      <c r="AD36" s="66">
        <f t="shared" ca="1" si="23"/>
        <v>15</v>
      </c>
      <c r="AE36" s="70">
        <f t="shared" ca="1" si="81"/>
        <v>2.6</v>
      </c>
      <c r="AF36" s="70">
        <f t="shared" ca="1" si="24"/>
        <v>11.100000000000001</v>
      </c>
      <c r="AG36" s="70">
        <f t="shared" ca="1" si="25"/>
        <v>6</v>
      </c>
      <c r="AH36" s="70">
        <f t="shared" ca="1" si="26"/>
        <v>66.600000000000009</v>
      </c>
      <c r="AI36" s="70">
        <f t="shared" ca="1" si="27"/>
        <v>23.400000000000002</v>
      </c>
      <c r="AJ36" s="70">
        <f t="shared" ca="1" si="28"/>
        <v>90</v>
      </c>
      <c r="AK36" s="67">
        <f ca="1">IF(X36="","",IF($X36=$X35,SUM(AI35:AI36)/SUM(AB35:AB36),0))</f>
        <v>0</v>
      </c>
      <c r="AL36" s="67">
        <f ca="1">IF(X36="","",IF($X36=$X35,SUM(AH35:AH36)/SUM(AC35:AC36),0))</f>
        <v>0</v>
      </c>
      <c r="AM36" s="67">
        <f ca="1">IF(X36="","",IF($X36=$X35,180/SUM(AB35:AC36),0))</f>
        <v>0</v>
      </c>
      <c r="AQ36" s="12">
        <f t="shared" si="88"/>
        <v>29</v>
      </c>
      <c r="AR36" s="12">
        <f ca="1">IF($AE36="",0,COUNTIF(INDIRECT(AE$4&amp;":"&amp;AE$5),"&gt;"&amp;AE36)+COUNTIF(AE$8:AE36,AE36))</f>
        <v>30</v>
      </c>
      <c r="AS36" s="12" t="str">
        <f t="shared" ca="1" si="29"/>
        <v>Notts Forest</v>
      </c>
      <c r="AT36" s="12">
        <f t="shared" ca="1" si="30"/>
        <v>2.6</v>
      </c>
      <c r="AV36" s="22">
        <f t="shared" ca="1" si="82"/>
        <v>29</v>
      </c>
      <c r="AW36" s="21" t="str">
        <f t="shared" ca="1" si="31"/>
        <v>Newcastle</v>
      </c>
      <c r="AX36" s="24">
        <f t="shared" ca="1" si="32"/>
        <v>2.8058823529411767</v>
      </c>
      <c r="AZ36" s="12">
        <f t="shared" si="89"/>
        <v>29</v>
      </c>
      <c r="BA36" s="12">
        <f ca="1">IF($AE36="",0,COUNTIF(INDIRECT(AF$4&amp;":"&amp;AF$5),"&gt;"&amp;AF36)+COUNTIF(AF$8:AF36,AF36))</f>
        <v>1</v>
      </c>
      <c r="BB36" s="12" t="str">
        <f t="shared" ca="1" si="33"/>
        <v>Notts Forest</v>
      </c>
      <c r="BC36" s="12">
        <f t="shared" ca="1" si="34"/>
        <v>11.100000000000001</v>
      </c>
      <c r="BE36" s="22">
        <f t="shared" ca="1" si="35"/>
        <v>29</v>
      </c>
      <c r="BF36" s="21" t="str">
        <f t="shared" ca="1" si="36"/>
        <v>Man City</v>
      </c>
      <c r="BG36" s="24">
        <f t="shared" ca="1" si="37"/>
        <v>3.1846153846153844</v>
      </c>
      <c r="BI36" s="12">
        <f t="shared" si="92"/>
        <v>29</v>
      </c>
      <c r="BJ36" s="12">
        <f ca="1">IF($AE36="",0,COUNTIF(INDIRECT(AG$4&amp;":"&amp;AG$5),"&gt;"&amp;AG36)+COUNTIF(AG$8:AG36,AG36))</f>
        <v>1</v>
      </c>
      <c r="BK36" s="12" t="str">
        <f t="shared" ca="1" si="38"/>
        <v>Notts Forest</v>
      </c>
      <c r="BL36" s="12">
        <f t="shared" ca="1" si="39"/>
        <v>6</v>
      </c>
      <c r="BN36" s="22">
        <f t="shared" ca="1" si="40"/>
        <v>29</v>
      </c>
      <c r="BO36" s="21" t="str">
        <f t="shared" ca="1" si="41"/>
        <v>Tottenham</v>
      </c>
      <c r="BP36" s="24">
        <f t="shared" ca="1" si="42"/>
        <v>3.4615384615384617</v>
      </c>
      <c r="DW36" s="86"/>
      <c r="DX36" s="86"/>
      <c r="DY36" s="86"/>
    </row>
    <row r="37" spans="2:129" x14ac:dyDescent="0.25">
      <c r="B37" s="25"/>
      <c r="C37" s="25"/>
      <c r="D37" s="25"/>
      <c r="E37" s="25"/>
      <c r="I37" s="43" t="str">
        <f t="shared" si="14"/>
        <v>i</v>
      </c>
      <c r="J37" s="43">
        <f t="shared" si="78"/>
        <v>30</v>
      </c>
      <c r="K37" s="44">
        <f ca="1">IF(M37="",0,COUNTIF(INDIRECT($J$4&amp;":"&amp;$J$5),"&lt;"&amp;V37)+COUNTIF($V$8:V37,V37))</f>
        <v>38</v>
      </c>
      <c r="L37" s="45">
        <f t="shared" si="91"/>
        <v>30</v>
      </c>
      <c r="M37" s="41" t="s">
        <v>45</v>
      </c>
      <c r="N37" s="42" t="s">
        <v>40</v>
      </c>
      <c r="O37" s="42">
        <v>48</v>
      </c>
      <c r="P37" s="42">
        <v>11</v>
      </c>
      <c r="Q37" s="42">
        <v>19</v>
      </c>
      <c r="R37" s="45"/>
      <c r="S37" s="45" t="str">
        <f t="shared" si="15"/>
        <v/>
      </c>
      <c r="T37" s="12" t="str">
        <f t="shared" si="16"/>
        <v/>
      </c>
      <c r="V37" s="12" t="str">
        <f t="shared" si="17"/>
        <v>Wolverhampton</v>
      </c>
      <c r="W37" s="69">
        <f t="shared" ca="1" si="84"/>
        <v>30</v>
      </c>
      <c r="X37" s="71" t="str">
        <f t="shared" ca="1" si="80"/>
        <v>Notts Forest</v>
      </c>
      <c r="Y37" s="71">
        <f t="shared" ca="1" si="18"/>
        <v>26</v>
      </c>
      <c r="Z37" s="69" t="str">
        <f t="shared" ca="1" si="19"/>
        <v>H</v>
      </c>
      <c r="AA37" s="69">
        <f t="shared" ca="1" si="20"/>
        <v>58</v>
      </c>
      <c r="AB37" s="66">
        <f t="shared" ca="1" si="21"/>
        <v>7</v>
      </c>
      <c r="AC37" s="66">
        <f t="shared" ca="1" si="22"/>
        <v>16</v>
      </c>
      <c r="AD37" s="66">
        <f t="shared" ca="1" si="23"/>
        <v>23</v>
      </c>
      <c r="AE37" s="70">
        <f t="shared" ca="1" si="81"/>
        <v>5.4</v>
      </c>
      <c r="AF37" s="70">
        <f t="shared" ca="1" si="24"/>
        <v>3.2625000000000002</v>
      </c>
      <c r="AG37" s="70">
        <f t="shared" ca="1" si="25"/>
        <v>3.9130434782608696</v>
      </c>
      <c r="AH37" s="70">
        <f t="shared" ca="1" si="26"/>
        <v>52.2</v>
      </c>
      <c r="AI37" s="70">
        <f t="shared" ca="1" si="27"/>
        <v>37.800000000000004</v>
      </c>
      <c r="AJ37" s="70">
        <f t="shared" ca="1" si="28"/>
        <v>90</v>
      </c>
      <c r="AK37" s="67">
        <f ca="1">IF(X37="","",IF(SUM(AB36:AB37)=0,0,IF($X37=$X36,SUM(AI36:AI37)/SUM(AB36:AB37),0)))</f>
        <v>3.8250000000000002</v>
      </c>
      <c r="AL37" s="67">
        <f ca="1">IF(X37="","",IF(SUM(AC36:AC37)=0,0,IF($X37=$X36,SUM(AH36:AH37)/SUM(AC36:AC37),0)))</f>
        <v>5.4</v>
      </c>
      <c r="AM37" s="67">
        <f ca="1">IF(X37="","",IF(SUM(AB36:AC37)=0,0,IF($X37=$X36,SUM(AJ36:AJ37)/SUM(AB36:AC37),0)))</f>
        <v>4.7368421052631575</v>
      </c>
      <c r="AQ37" s="12">
        <f t="shared" si="88"/>
        <v>30</v>
      </c>
      <c r="AR37" s="12">
        <f ca="1">IF($AE37="",0,COUNTIF(INDIRECT(AE$4&amp;":"&amp;AE$5),"&gt;"&amp;AE37)+COUNTIF(AE$8:AE37,AE37))</f>
        <v>7</v>
      </c>
      <c r="AS37" s="12" t="str">
        <f t="shared" ca="1" si="29"/>
        <v>Notts Forest</v>
      </c>
      <c r="AT37" s="12">
        <f t="shared" ca="1" si="30"/>
        <v>5.4</v>
      </c>
      <c r="AV37" s="22">
        <f t="shared" ca="1" si="82"/>
        <v>30</v>
      </c>
      <c r="AW37" s="21" t="str">
        <f t="shared" ca="1" si="31"/>
        <v>Notts Forest</v>
      </c>
      <c r="AX37" s="24">
        <f t="shared" ca="1" si="32"/>
        <v>2.6</v>
      </c>
      <c r="AZ37" s="12">
        <f t="shared" si="89"/>
        <v>30</v>
      </c>
      <c r="BA37" s="12">
        <f ca="1">IF($AE37="",0,COUNTIF(INDIRECT(AF$4&amp;":"&amp;AF$5),"&gt;"&amp;AF37)+COUNTIF(AF$8:AF37,AF37))</f>
        <v>25</v>
      </c>
      <c r="BB37" s="12" t="str">
        <f t="shared" ca="1" si="33"/>
        <v>Notts Forest</v>
      </c>
      <c r="BC37" s="12">
        <f t="shared" ca="1" si="34"/>
        <v>3.2625000000000002</v>
      </c>
      <c r="BE37" s="22">
        <f t="shared" ca="1" si="35"/>
        <v>30</v>
      </c>
      <c r="BF37" s="21" t="str">
        <f t="shared" ca="1" si="36"/>
        <v>Tottenham</v>
      </c>
      <c r="BG37" s="24">
        <f t="shared" ca="1" si="37"/>
        <v>3.1090909090909093</v>
      </c>
      <c r="BI37" s="12">
        <f t="shared" si="92"/>
        <v>30</v>
      </c>
      <c r="BJ37" s="12">
        <f ca="1">IF($AE37="",0,COUNTIF(INDIRECT(AG$4&amp;":"&amp;AG$5),"&gt;"&amp;AG37)+COUNTIF(AG$8:AG37,AG37))</f>
        <v>19</v>
      </c>
      <c r="BK37" s="12" t="str">
        <f t="shared" ca="1" si="38"/>
        <v>Notts Forest</v>
      </c>
      <c r="BL37" s="12">
        <f t="shared" ca="1" si="39"/>
        <v>3.9130434782608696</v>
      </c>
      <c r="BN37" s="22">
        <f t="shared" ca="1" si="40"/>
        <v>30</v>
      </c>
      <c r="BO37" s="21" t="str">
        <f t="shared" ca="1" si="41"/>
        <v>Arsenal</v>
      </c>
      <c r="BP37" s="24">
        <f t="shared" ca="1" si="42"/>
        <v>3.3333333333333335</v>
      </c>
      <c r="DW37" s="86"/>
      <c r="DX37" s="86"/>
      <c r="DY37" s="86"/>
    </row>
    <row r="38" spans="2:129" x14ac:dyDescent="0.25">
      <c r="B38" s="25"/>
      <c r="C38" s="25" t="s">
        <v>78</v>
      </c>
      <c r="D38" s="25"/>
      <c r="E38" s="25"/>
      <c r="I38" s="43" t="str">
        <f t="shared" si="14"/>
        <v>i</v>
      </c>
      <c r="J38" s="43">
        <f t="shared" si="78"/>
        <v>31</v>
      </c>
      <c r="K38" s="44">
        <f ca="1">IF(M38="",0,COUNTIF(INDIRECT($J$4&amp;":"&amp;$J$5),"&lt;"&amp;V38)+COUNTIF($V$8:V38,V38))</f>
        <v>24</v>
      </c>
      <c r="L38" s="45">
        <f t="shared" si="91"/>
        <v>31</v>
      </c>
      <c r="M38" s="41" t="s">
        <v>73</v>
      </c>
      <c r="N38" s="42" t="s">
        <v>2</v>
      </c>
      <c r="O38" s="42">
        <v>32</v>
      </c>
      <c r="P38" s="42">
        <v>13</v>
      </c>
      <c r="Q38" s="42">
        <v>6</v>
      </c>
      <c r="R38" s="45"/>
      <c r="S38" s="45" t="str">
        <f t="shared" si="15"/>
        <v/>
      </c>
      <c r="T38" s="12" t="str">
        <f t="shared" si="16"/>
        <v/>
      </c>
      <c r="V38" s="12" t="str">
        <f t="shared" si="17"/>
        <v>Man City</v>
      </c>
      <c r="W38" s="69">
        <f t="shared" ca="1" si="84"/>
        <v>31</v>
      </c>
      <c r="X38" s="71" t="str">
        <f t="shared" ca="1" si="80"/>
        <v>Sheffield Utd</v>
      </c>
      <c r="Y38" s="71">
        <f t="shared" ca="1" si="18"/>
        <v>18</v>
      </c>
      <c r="Z38" s="69" t="str">
        <f t="shared" ca="1" si="19"/>
        <v>H</v>
      </c>
      <c r="AA38" s="69">
        <f t="shared" ca="1" si="20"/>
        <v>78</v>
      </c>
      <c r="AB38" s="66">
        <f t="shared" ca="1" si="21"/>
        <v>11</v>
      </c>
      <c r="AC38" s="66">
        <f t="shared" ca="1" si="22"/>
        <v>16</v>
      </c>
      <c r="AD38" s="66">
        <f t="shared" ca="1" si="23"/>
        <v>27</v>
      </c>
      <c r="AE38" s="70">
        <f t="shared" ca="1" si="81"/>
        <v>1.8</v>
      </c>
      <c r="AF38" s="70">
        <f t="shared" ca="1" si="24"/>
        <v>4.3875000000000002</v>
      </c>
      <c r="AG38" s="70">
        <f t="shared" ca="1" si="25"/>
        <v>3.3333333333333335</v>
      </c>
      <c r="AH38" s="70">
        <f t="shared" ca="1" si="26"/>
        <v>70.2</v>
      </c>
      <c r="AI38" s="70">
        <f t="shared" ca="1" si="27"/>
        <v>19.8</v>
      </c>
      <c r="AJ38" s="70">
        <f t="shared" ca="1" si="28"/>
        <v>90</v>
      </c>
      <c r="AK38" s="67">
        <f ca="1">IF(X38="","",IF($X38=$X37,SUM(AI37:AI38)/SUM(AB37:AB38),0))</f>
        <v>0</v>
      </c>
      <c r="AL38" s="67">
        <f ca="1">IF(X38="","",IF($X38=$X37,SUM(AH37:AH38)/SUM(AC37:AC38),0))</f>
        <v>0</v>
      </c>
      <c r="AM38" s="67">
        <f ca="1">IF(X38="","",IF($X38=$X37,180/SUM(AB37:AC38),0))</f>
        <v>0</v>
      </c>
      <c r="AQ38" s="12">
        <f t="shared" si="88"/>
        <v>31</v>
      </c>
      <c r="AR38" s="12">
        <f ca="1">IF($AE38="",0,COUNTIF(INDIRECT(AE$4&amp;":"&amp;AE$5),"&gt;"&amp;AE38)+COUNTIF(AE$8:AE38,AE38))</f>
        <v>38</v>
      </c>
      <c r="AS38" s="12" t="str">
        <f t="shared" ca="1" si="29"/>
        <v>Sheffield Utd</v>
      </c>
      <c r="AT38" s="12">
        <f t="shared" ca="1" si="30"/>
        <v>1.8</v>
      </c>
      <c r="AV38" s="22">
        <f t="shared" ca="1" si="82"/>
        <v>31</v>
      </c>
      <c r="AW38" s="21" t="str">
        <f t="shared" ca="1" si="31"/>
        <v>Newcastle</v>
      </c>
      <c r="AX38" s="24">
        <f t="shared" ca="1" si="32"/>
        <v>2.5071428571428571</v>
      </c>
      <c r="AZ38" s="12">
        <f t="shared" si="89"/>
        <v>31</v>
      </c>
      <c r="BA38" s="12">
        <f ca="1">IF($AE38="",0,COUNTIF(INDIRECT(AF$4&amp;":"&amp;AF$5),"&gt;"&amp;AF38)+COUNTIF(AF$8:AF38,AF38))</f>
        <v>15</v>
      </c>
      <c r="BB38" s="12" t="str">
        <f t="shared" ca="1" si="33"/>
        <v>Sheffield Utd</v>
      </c>
      <c r="BC38" s="12">
        <f t="shared" ca="1" si="34"/>
        <v>4.3875000000000002</v>
      </c>
      <c r="BE38" s="22">
        <f t="shared" ca="1" si="35"/>
        <v>31</v>
      </c>
      <c r="BF38" s="21" t="str">
        <f t="shared" ca="1" si="36"/>
        <v>Fulham</v>
      </c>
      <c r="BG38" s="24">
        <f t="shared" ca="1" si="37"/>
        <v>2.6999999999999997</v>
      </c>
      <c r="BI38" s="12">
        <f t="shared" si="92"/>
        <v>31</v>
      </c>
      <c r="BJ38" s="12">
        <f ca="1">IF($AE38="",0,COUNTIF(INDIRECT(AG$4&amp;":"&amp;AG$5),"&gt;"&amp;AG38)+COUNTIF(AG$8:AG38,AG38))</f>
        <v>34</v>
      </c>
      <c r="BK38" s="12" t="str">
        <f t="shared" ca="1" si="38"/>
        <v>Sheffield Utd</v>
      </c>
      <c r="BL38" s="12">
        <f t="shared" ca="1" si="39"/>
        <v>3.3333333333333335</v>
      </c>
      <c r="BN38" s="22">
        <f t="shared" ca="1" si="40"/>
        <v>31</v>
      </c>
      <c r="BO38" s="21" t="str">
        <f t="shared" ca="1" si="41"/>
        <v>Chelsea</v>
      </c>
      <c r="BP38" s="24">
        <f t="shared" ca="1" si="42"/>
        <v>3.3333333333333335</v>
      </c>
      <c r="DW38" s="86"/>
      <c r="DX38" s="86"/>
      <c r="DY38" s="86"/>
    </row>
    <row r="39" spans="2:129" x14ac:dyDescent="0.25">
      <c r="B39" s="25"/>
      <c r="C39" s="25" t="s">
        <v>79</v>
      </c>
      <c r="D39" s="25"/>
      <c r="E39" s="25"/>
      <c r="I39" s="43" t="str">
        <f t="shared" si="14"/>
        <v>i</v>
      </c>
      <c r="J39" s="43">
        <f t="shared" si="78"/>
        <v>32</v>
      </c>
      <c r="K39" s="44">
        <f ca="1">IF(M39="",0,COUNTIF(INDIRECT($J$4&amp;":"&amp;$J$5),"&lt;"&amp;V39)+COUNTIF($V$8:V39,V39))</f>
        <v>6</v>
      </c>
      <c r="L39" s="45">
        <f t="shared" si="91"/>
        <v>32</v>
      </c>
      <c r="M39" s="41" t="s">
        <v>74</v>
      </c>
      <c r="N39" s="42" t="s">
        <v>2</v>
      </c>
      <c r="O39" s="42">
        <v>69</v>
      </c>
      <c r="P39" s="42">
        <v>15</v>
      </c>
      <c r="Q39" s="42">
        <v>11</v>
      </c>
      <c r="R39" s="45"/>
      <c r="S39" s="45" t="str">
        <f t="shared" si="15"/>
        <v/>
      </c>
      <c r="T39" s="12" t="str">
        <f t="shared" si="16"/>
        <v/>
      </c>
      <c r="V39" s="12" t="str">
        <f t="shared" si="17"/>
        <v>Brentford</v>
      </c>
      <c r="W39" s="69">
        <f t="shared" ca="1" si="84"/>
        <v>32</v>
      </c>
      <c r="X39" s="71" t="str">
        <f t="shared" ca="1" si="80"/>
        <v>Sheffield Utd</v>
      </c>
      <c r="Y39" s="71">
        <f t="shared" ca="1" si="18"/>
        <v>23</v>
      </c>
      <c r="Z39" s="69" t="str">
        <f t="shared" ca="1" si="19"/>
        <v>A</v>
      </c>
      <c r="AA39" s="69">
        <f t="shared" ca="1" si="20"/>
        <v>66</v>
      </c>
      <c r="AB39" s="66">
        <f t="shared" ca="1" si="21"/>
        <v>7</v>
      </c>
      <c r="AC39" s="66">
        <f t="shared" ca="1" si="22"/>
        <v>10</v>
      </c>
      <c r="AD39" s="66">
        <f t="shared" ca="1" si="23"/>
        <v>17</v>
      </c>
      <c r="AE39" s="70">
        <f t="shared" ca="1" si="81"/>
        <v>4.3714285714285719</v>
      </c>
      <c r="AF39" s="70">
        <f t="shared" ca="1" si="24"/>
        <v>5.9399999999999995</v>
      </c>
      <c r="AG39" s="70">
        <f t="shared" ca="1" si="25"/>
        <v>5.2941176470588234</v>
      </c>
      <c r="AH39" s="70">
        <f t="shared" ca="1" si="26"/>
        <v>59.4</v>
      </c>
      <c r="AI39" s="70">
        <f t="shared" ca="1" si="27"/>
        <v>30.6</v>
      </c>
      <c r="AJ39" s="70">
        <f t="shared" ca="1" si="28"/>
        <v>90</v>
      </c>
      <c r="AK39" s="67">
        <f ca="1">IF(X39="","",IF(SUM(AB38:AB39)=0,0,IF($X39=$X38,SUM(AI38:AI39)/SUM(AB38:AB39),0)))</f>
        <v>2.8000000000000003</v>
      </c>
      <c r="AL39" s="67">
        <f ca="1">IF(X39="","",IF(SUM(AC38:AC39)=0,0,IF($X39=$X38,SUM(AH38:AH39)/SUM(AC38:AC39),0)))</f>
        <v>4.9846153846153847</v>
      </c>
      <c r="AM39" s="67">
        <f ca="1">IF(X39="","",IF(SUM(AB38:AC39)=0,0,IF($X39=$X38,SUM(AJ38:AJ39)/SUM(AB38:AC39),0)))</f>
        <v>4.0909090909090908</v>
      </c>
      <c r="AQ39" s="12">
        <f t="shared" si="88"/>
        <v>32</v>
      </c>
      <c r="AR39" s="12">
        <f ca="1">IF($AE39="",0,COUNTIF(INDIRECT(AE$4&amp;":"&amp;AE$5),"&gt;"&amp;AE39)+COUNTIF(AE$8:AE39,AE39))</f>
        <v>19</v>
      </c>
      <c r="AS39" s="12" t="str">
        <f t="shared" ca="1" si="29"/>
        <v>Sheffield Utd</v>
      </c>
      <c r="AT39" s="12">
        <f t="shared" ca="1" si="30"/>
        <v>4.3714285714285719</v>
      </c>
      <c r="AV39" s="22">
        <f t="shared" ca="1" si="82"/>
        <v>32</v>
      </c>
      <c r="AW39" s="21" t="str">
        <f t="shared" ca="1" si="31"/>
        <v>Luton</v>
      </c>
      <c r="AX39" s="24">
        <f t="shared" ca="1" si="32"/>
        <v>2.372727272727273</v>
      </c>
      <c r="AZ39" s="12">
        <f t="shared" si="89"/>
        <v>32</v>
      </c>
      <c r="BA39" s="12">
        <f ca="1">IF($AE39="",0,COUNTIF(INDIRECT(AF$4&amp;":"&amp;AF$5),"&gt;"&amp;AF39)+COUNTIF(AF$8:AF39,AF39))</f>
        <v>6</v>
      </c>
      <c r="BB39" s="12" t="str">
        <f t="shared" ca="1" si="33"/>
        <v>Sheffield Utd</v>
      </c>
      <c r="BC39" s="12">
        <f t="shared" ca="1" si="34"/>
        <v>5.9399999999999995</v>
      </c>
      <c r="BE39" s="22">
        <f t="shared" ca="1" si="35"/>
        <v>32</v>
      </c>
      <c r="BF39" s="21" t="str">
        <f t="shared" ca="1" si="36"/>
        <v>Liverpool</v>
      </c>
      <c r="BG39" s="24">
        <f t="shared" ca="1" si="37"/>
        <v>2.6999999999999997</v>
      </c>
      <c r="BI39" s="12">
        <f t="shared" si="92"/>
        <v>32</v>
      </c>
      <c r="BJ39" s="12">
        <f ca="1">IF($AE39="",0,COUNTIF(INDIRECT(AG$4&amp;":"&amp;AG$5),"&gt;"&amp;AG39)+COUNTIF(AG$8:AG39,AG39))</f>
        <v>4</v>
      </c>
      <c r="BK39" s="12" t="str">
        <f t="shared" ca="1" si="38"/>
        <v>Sheffield Utd</v>
      </c>
      <c r="BL39" s="12">
        <f t="shared" ca="1" si="39"/>
        <v>5.2941176470588234</v>
      </c>
      <c r="BN39" s="22">
        <f t="shared" ca="1" si="40"/>
        <v>32</v>
      </c>
      <c r="BO39" s="21" t="str">
        <f t="shared" ca="1" si="41"/>
        <v>Everton</v>
      </c>
      <c r="BP39" s="24">
        <f t="shared" ca="1" si="42"/>
        <v>3.3333333333333335</v>
      </c>
      <c r="DW39" s="86"/>
      <c r="DX39" s="86"/>
      <c r="DY39" s="86"/>
    </row>
    <row r="40" spans="2:129" x14ac:dyDescent="0.25">
      <c r="B40" s="25"/>
      <c r="C40" s="25"/>
      <c r="D40" s="25"/>
      <c r="E40" s="25"/>
      <c r="I40" s="43" t="str">
        <f t="shared" si="14"/>
        <v>i</v>
      </c>
      <c r="J40" s="43">
        <f t="shared" si="78"/>
        <v>33</v>
      </c>
      <c r="K40" s="44">
        <f ca="1">IF(M40="",0,COUNTIF(INDIRECT($J$4&amp;":"&amp;$J$5),"&lt;"&amp;V40)+COUNTIF($V$8:V40,V40))</f>
        <v>2</v>
      </c>
      <c r="L40" s="45">
        <f t="shared" si="91"/>
        <v>33</v>
      </c>
      <c r="M40" s="41" t="s">
        <v>70</v>
      </c>
      <c r="N40" s="42" t="s">
        <v>40</v>
      </c>
      <c r="O40" s="42">
        <v>49</v>
      </c>
      <c r="P40" s="42">
        <v>7</v>
      </c>
      <c r="Q40" s="42">
        <v>12</v>
      </c>
      <c r="R40" s="45"/>
      <c r="S40" s="45" t="str">
        <f t="shared" si="15"/>
        <v/>
      </c>
      <c r="T40" s="12" t="str">
        <f t="shared" si="16"/>
        <v/>
      </c>
      <c r="V40" s="12" t="str">
        <f t="shared" si="17"/>
        <v>Arsenal</v>
      </c>
      <c r="W40" s="69">
        <f t="shared" ca="1" si="84"/>
        <v>33</v>
      </c>
      <c r="X40" s="71" t="str">
        <f t="shared" ca="1" si="80"/>
        <v>Tottenham</v>
      </c>
      <c r="Y40" s="71">
        <f t="shared" ca="1" si="18"/>
        <v>13</v>
      </c>
      <c r="Z40" s="69" t="str">
        <f t="shared" ca="1" si="19"/>
        <v>A</v>
      </c>
      <c r="AA40" s="69">
        <f t="shared" ca="1" si="20"/>
        <v>38</v>
      </c>
      <c r="AB40" s="66">
        <f t="shared" ca="1" si="21"/>
        <v>13</v>
      </c>
      <c r="AC40" s="66">
        <f t="shared" ca="1" si="22"/>
        <v>11</v>
      </c>
      <c r="AD40" s="66">
        <f t="shared" ca="1" si="23"/>
        <v>24</v>
      </c>
      <c r="AE40" s="70">
        <f t="shared" ca="1" si="81"/>
        <v>4.292307692307693</v>
      </c>
      <c r="AF40" s="70">
        <f t="shared" ca="1" si="24"/>
        <v>3.1090909090909093</v>
      </c>
      <c r="AG40" s="70">
        <f t="shared" ca="1" si="25"/>
        <v>3.75</v>
      </c>
      <c r="AH40" s="70">
        <f t="shared" ca="1" si="26"/>
        <v>34.200000000000003</v>
      </c>
      <c r="AI40" s="70">
        <f t="shared" ca="1" si="27"/>
        <v>55.800000000000004</v>
      </c>
      <c r="AJ40" s="70">
        <f t="shared" ca="1" si="28"/>
        <v>90</v>
      </c>
      <c r="AK40" s="67">
        <f ca="1">IF(X40="","",IF($X40=$X39,SUM(AI39:AI40)/SUM(AB39:AB40),0))</f>
        <v>0</v>
      </c>
      <c r="AL40" s="67">
        <f ca="1">IF(X40="","",IF($X40=$X39,SUM(AH39:AH40)/SUM(AC39:AC40),0))</f>
        <v>0</v>
      </c>
      <c r="AM40" s="67">
        <f ca="1">IF(X40="","",IF($X40=$X39,180/SUM(AB39:AC40),0))</f>
        <v>0</v>
      </c>
      <c r="AQ40" s="12">
        <f t="shared" si="88"/>
        <v>33</v>
      </c>
      <c r="AR40" s="12">
        <f ca="1">IF($AE40="",0,COUNTIF(INDIRECT(AE$4&amp;":"&amp;AE$5),"&gt;"&amp;AE40)+COUNTIF(AE$8:AE40,AE40))</f>
        <v>21</v>
      </c>
      <c r="AS40" s="12" t="str">
        <f t="shared" ca="1" si="29"/>
        <v>Tottenham</v>
      </c>
      <c r="AT40" s="12">
        <f t="shared" ca="1" si="30"/>
        <v>4.292307692307693</v>
      </c>
      <c r="AV40" s="22">
        <f t="shared" ca="1" si="82"/>
        <v>33</v>
      </c>
      <c r="AW40" s="21" t="str">
        <f t="shared" ca="1" si="31"/>
        <v>West Ham</v>
      </c>
      <c r="AX40" s="24">
        <f t="shared" ca="1" si="32"/>
        <v>2.3250000000000002</v>
      </c>
      <c r="AZ40" s="12">
        <f t="shared" si="89"/>
        <v>33</v>
      </c>
      <c r="BA40" s="12">
        <f ca="1">IF($AE40="",0,COUNTIF(INDIRECT(AF$4&amp;":"&amp;AF$5),"&gt;"&amp;AF40)+COUNTIF(AF$8:AF40,AF40))</f>
        <v>30</v>
      </c>
      <c r="BB40" s="12" t="str">
        <f t="shared" ca="1" si="33"/>
        <v>Tottenham</v>
      </c>
      <c r="BC40" s="12">
        <f t="shared" ca="1" si="34"/>
        <v>3.1090909090909093</v>
      </c>
      <c r="BE40" s="22">
        <f t="shared" ca="1" si="35"/>
        <v>33</v>
      </c>
      <c r="BF40" s="21" t="str">
        <f t="shared" ca="1" si="36"/>
        <v>Wolverhampton</v>
      </c>
      <c r="BG40" s="24">
        <f t="shared" ca="1" si="37"/>
        <v>2.5578947368421052</v>
      </c>
      <c r="BI40" s="12">
        <f t="shared" si="92"/>
        <v>33</v>
      </c>
      <c r="BJ40" s="12">
        <f ca="1">IF($AE40="",0,COUNTIF(INDIRECT(AG$4&amp;":"&amp;AG$5),"&gt;"&amp;AG40)+COUNTIF(AG$8:AG40,AG40))</f>
        <v>21</v>
      </c>
      <c r="BK40" s="12" t="str">
        <f t="shared" ca="1" si="38"/>
        <v>Tottenham</v>
      </c>
      <c r="BL40" s="12">
        <f t="shared" ca="1" si="39"/>
        <v>3.75</v>
      </c>
      <c r="BN40" s="22">
        <f t="shared" ca="1" si="40"/>
        <v>33</v>
      </c>
      <c r="BO40" s="21" t="str">
        <f t="shared" ca="1" si="41"/>
        <v>Luton</v>
      </c>
      <c r="BP40" s="24">
        <f t="shared" ca="1" si="42"/>
        <v>3.3333333333333335</v>
      </c>
      <c r="DW40" s="86"/>
      <c r="DX40" s="86"/>
      <c r="DY40" s="86"/>
    </row>
    <row r="41" spans="2:129" x14ac:dyDescent="0.25">
      <c r="B41" s="25"/>
      <c r="C41" s="25"/>
      <c r="D41" s="25"/>
      <c r="E41" s="25"/>
      <c r="I41" s="43" t="str">
        <f t="shared" si="14"/>
        <v>i</v>
      </c>
      <c r="J41" s="43">
        <f t="shared" si="78"/>
        <v>34</v>
      </c>
      <c r="K41" s="44">
        <f ca="1">IF(M41="",0,COUNTIF(INDIRECT($J$4&amp;":"&amp;$J$5),"&lt;"&amp;V41)+COUNTIF($V$8:V41,V41))</f>
        <v>4</v>
      </c>
      <c r="L41" s="45">
        <f t="shared" si="91"/>
        <v>34</v>
      </c>
      <c r="M41" s="41" t="s">
        <v>62</v>
      </c>
      <c r="N41" s="42" t="s">
        <v>40</v>
      </c>
      <c r="O41" s="42">
        <v>56</v>
      </c>
      <c r="P41" s="42">
        <v>8</v>
      </c>
      <c r="Q41" s="42">
        <v>14</v>
      </c>
      <c r="R41" s="45"/>
      <c r="S41" s="45" t="str">
        <f t="shared" si="15"/>
        <v/>
      </c>
      <c r="T41" s="12" t="str">
        <f t="shared" si="16"/>
        <v/>
      </c>
      <c r="V41" s="12" t="str">
        <f t="shared" si="17"/>
        <v>Bournemouth</v>
      </c>
      <c r="W41" s="69">
        <f t="shared" ca="1" si="84"/>
        <v>34</v>
      </c>
      <c r="X41" s="71" t="str">
        <f t="shared" ca="1" si="80"/>
        <v>Tottenham</v>
      </c>
      <c r="Y41" s="71">
        <f t="shared" ca="1" si="18"/>
        <v>28</v>
      </c>
      <c r="Z41" s="69" t="str">
        <f t="shared" ca="1" si="19"/>
        <v>H</v>
      </c>
      <c r="AA41" s="69">
        <f t="shared" ca="1" si="20"/>
        <v>31</v>
      </c>
      <c r="AB41" s="66">
        <f t="shared" ca="1" si="21"/>
        <v>11</v>
      </c>
      <c r="AC41" s="66">
        <f t="shared" ca="1" si="22"/>
        <v>15</v>
      </c>
      <c r="AD41" s="66">
        <f t="shared" ca="1" si="23"/>
        <v>26</v>
      </c>
      <c r="AE41" s="70">
        <f t="shared" ca="1" si="81"/>
        <v>5.6454545454545455</v>
      </c>
      <c r="AF41" s="70">
        <f t="shared" ca="1" si="24"/>
        <v>1.86</v>
      </c>
      <c r="AG41" s="70">
        <f t="shared" ca="1" si="25"/>
        <v>3.4615384615384617</v>
      </c>
      <c r="AH41" s="70">
        <f t="shared" ca="1" si="26"/>
        <v>27.900000000000002</v>
      </c>
      <c r="AI41" s="70">
        <f t="shared" ca="1" si="27"/>
        <v>62.1</v>
      </c>
      <c r="AJ41" s="70">
        <f t="shared" ca="1" si="28"/>
        <v>90</v>
      </c>
      <c r="AK41" s="67">
        <f ca="1">IF(X41="","",IF(SUM(AB40:AB41)=0,0,IF($X41=$X40,SUM(AI40:AI41)/SUM(AB40:AB41),0)))</f>
        <v>4.9125000000000005</v>
      </c>
      <c r="AL41" s="67">
        <f ca="1">IF(X41="","",IF(SUM(AC40:AC41)=0,0,IF($X41=$X40,SUM(AH40:AH41)/SUM(AC40:AC41),0)))</f>
        <v>2.3884615384615389</v>
      </c>
      <c r="AM41" s="67">
        <f ca="1">IF(X41="","",IF(SUM(AB40:AC41)=0,0,IF($X41=$X40,SUM(AJ40:AJ41)/SUM(AB40:AC41),0)))</f>
        <v>3.6</v>
      </c>
      <c r="AQ41" s="12">
        <f t="shared" si="88"/>
        <v>34</v>
      </c>
      <c r="AR41" s="12">
        <f ca="1">IF($AE41="",0,COUNTIF(INDIRECT(AE$4&amp;":"&amp;AE$5),"&gt;"&amp;AE41)+COUNTIF(AE$8:AE41,AE41))</f>
        <v>6</v>
      </c>
      <c r="AS41" s="12" t="str">
        <f t="shared" ca="1" si="29"/>
        <v>Tottenham</v>
      </c>
      <c r="AT41" s="12">
        <f t="shared" ca="1" si="30"/>
        <v>5.6454545454545455</v>
      </c>
      <c r="AV41" s="22">
        <f t="shared" ca="1" si="82"/>
        <v>34</v>
      </c>
      <c r="AW41" s="21" t="str">
        <f t="shared" ca="1" si="31"/>
        <v>Crystal Palace</v>
      </c>
      <c r="AX41" s="24">
        <f t="shared" ca="1" si="32"/>
        <v>2.2846153846153845</v>
      </c>
      <c r="AZ41" s="12">
        <f t="shared" si="89"/>
        <v>34</v>
      </c>
      <c r="BA41" s="12">
        <f ca="1">IF($AE41="",0,COUNTIF(INDIRECT(AF$4&amp;":"&amp;AF$5),"&gt;"&amp;AF41)+COUNTIF(AF$8:AF41,AF41))</f>
        <v>37</v>
      </c>
      <c r="BB41" s="12" t="str">
        <f t="shared" ca="1" si="33"/>
        <v>Tottenham</v>
      </c>
      <c r="BC41" s="12">
        <f t="shared" ca="1" si="34"/>
        <v>1.86</v>
      </c>
      <c r="BE41" s="22">
        <f t="shared" ca="1" si="35"/>
        <v>34</v>
      </c>
      <c r="BF41" s="21" t="str">
        <f t="shared" ca="1" si="36"/>
        <v>Liverpool</v>
      </c>
      <c r="BG41" s="24">
        <f t="shared" ca="1" si="37"/>
        <v>2.46</v>
      </c>
      <c r="BI41" s="12">
        <f t="shared" si="92"/>
        <v>34</v>
      </c>
      <c r="BJ41" s="12">
        <f ca="1">IF($AE41="",0,COUNTIF(INDIRECT(AG$4&amp;":"&amp;AG$5),"&gt;"&amp;AG41)+COUNTIF(AG$8:AG41,AG41))</f>
        <v>29</v>
      </c>
      <c r="BK41" s="12" t="str">
        <f t="shared" ca="1" si="38"/>
        <v>Tottenham</v>
      </c>
      <c r="BL41" s="12">
        <f t="shared" ca="1" si="39"/>
        <v>3.4615384615384617</v>
      </c>
      <c r="BN41" s="22">
        <f t="shared" ca="1" si="40"/>
        <v>34</v>
      </c>
      <c r="BO41" s="21" t="str">
        <f t="shared" ca="1" si="41"/>
        <v>Sheffield Utd</v>
      </c>
      <c r="BP41" s="24">
        <f t="shared" ca="1" si="42"/>
        <v>3.3333333333333335</v>
      </c>
      <c r="DW41" s="86"/>
      <c r="DX41" s="86"/>
      <c r="DY41" s="86"/>
    </row>
    <row r="42" spans="2:129" x14ac:dyDescent="0.25">
      <c r="B42" s="25"/>
      <c r="C42" s="25"/>
      <c r="D42" s="25"/>
      <c r="E42" s="25"/>
      <c r="I42" s="43" t="str">
        <f t="shared" si="14"/>
        <v>i</v>
      </c>
      <c r="J42" s="43">
        <f t="shared" si="78"/>
        <v>35</v>
      </c>
      <c r="K42" s="44">
        <f ca="1">IF(M42="",0,COUNTIF(INDIRECT($J$4&amp;":"&amp;$J$5),"&lt;"&amp;V42)+COUNTIF($V$8:V42,V42))</f>
        <v>12</v>
      </c>
      <c r="L42" s="45">
        <f t="shared" si="91"/>
        <v>35</v>
      </c>
      <c r="M42" s="41" t="s">
        <v>50</v>
      </c>
      <c r="N42" s="42" t="s">
        <v>40</v>
      </c>
      <c r="O42" s="42">
        <v>29</v>
      </c>
      <c r="P42" s="42">
        <v>13</v>
      </c>
      <c r="Q42" s="42">
        <v>14</v>
      </c>
      <c r="R42" s="45"/>
      <c r="S42" s="45" t="str">
        <f t="shared" si="15"/>
        <v/>
      </c>
      <c r="T42" s="12" t="str">
        <f t="shared" si="16"/>
        <v/>
      </c>
      <c r="V42" s="12" t="str">
        <f t="shared" si="17"/>
        <v>Chelsea</v>
      </c>
      <c r="W42" s="69">
        <f t="shared" ca="1" si="84"/>
        <v>35</v>
      </c>
      <c r="X42" s="71" t="str">
        <f t="shared" ca="1" si="80"/>
        <v>West Ham</v>
      </c>
      <c r="Y42" s="71">
        <f t="shared" ca="1" si="18"/>
        <v>9</v>
      </c>
      <c r="Z42" s="69" t="str">
        <f t="shared" ca="1" si="19"/>
        <v>H</v>
      </c>
      <c r="AA42" s="69">
        <f t="shared" ca="1" si="20"/>
        <v>58</v>
      </c>
      <c r="AB42" s="66">
        <f t="shared" ca="1" si="21"/>
        <v>8</v>
      </c>
      <c r="AC42" s="66">
        <f t="shared" ca="1" si="22"/>
        <v>15</v>
      </c>
      <c r="AD42" s="66">
        <f t="shared" ca="1" si="23"/>
        <v>23</v>
      </c>
      <c r="AE42" s="70">
        <f t="shared" ca="1" si="81"/>
        <v>4.7250000000000005</v>
      </c>
      <c r="AF42" s="70">
        <f t="shared" ca="1" si="24"/>
        <v>3.48</v>
      </c>
      <c r="AG42" s="70">
        <f t="shared" ca="1" si="25"/>
        <v>3.9130434782608696</v>
      </c>
      <c r="AH42" s="70">
        <f t="shared" ca="1" si="26"/>
        <v>52.2</v>
      </c>
      <c r="AI42" s="70">
        <f t="shared" ca="1" si="27"/>
        <v>37.800000000000004</v>
      </c>
      <c r="AJ42" s="70">
        <f t="shared" ca="1" si="28"/>
        <v>90</v>
      </c>
      <c r="AK42" s="67">
        <f ca="1">IF(X42="","",IF($X42=$X41,SUM(AI41:AI42)/SUM(AB41:AB42),0))</f>
        <v>0</v>
      </c>
      <c r="AL42" s="67">
        <f ca="1">IF(X42="","",IF($X42=$X41,SUM(AH41:AH42)/SUM(AC41:AC42),0))</f>
        <v>0</v>
      </c>
      <c r="AM42" s="67">
        <f ca="1">IF(X42="","",IF($X42=$X41,180/SUM(AB41:AC42),0))</f>
        <v>0</v>
      </c>
      <c r="AQ42" s="12">
        <f t="shared" si="88"/>
        <v>35</v>
      </c>
      <c r="AR42" s="12">
        <f ca="1">IF($AE42="",0,COUNTIF(INDIRECT(AE$4&amp;":"&amp;AE$5),"&gt;"&amp;AE42)+COUNTIF(AE$8:AE42,AE42))</f>
        <v>12</v>
      </c>
      <c r="AS42" s="12" t="str">
        <f t="shared" ca="1" si="29"/>
        <v>West Ham</v>
      </c>
      <c r="AT42" s="12">
        <f t="shared" ca="1" si="30"/>
        <v>4.7250000000000005</v>
      </c>
      <c r="AV42" s="22">
        <f t="shared" ca="1" si="82"/>
        <v>35</v>
      </c>
      <c r="AW42" s="21" t="str">
        <f t="shared" ca="1" si="31"/>
        <v>Luton</v>
      </c>
      <c r="AX42" s="24">
        <f t="shared" ca="1" si="32"/>
        <v>2.1789473684210527</v>
      </c>
      <c r="AZ42" s="12">
        <f t="shared" si="89"/>
        <v>35</v>
      </c>
      <c r="BA42" s="12">
        <f ca="1">IF($AE42="",0,COUNTIF(INDIRECT(AF$4&amp;":"&amp;AF$5),"&gt;"&amp;AF42)+COUNTIF(AF$8:AF42,AF42))</f>
        <v>23</v>
      </c>
      <c r="BB42" s="12" t="str">
        <f t="shared" ca="1" si="33"/>
        <v>West Ham</v>
      </c>
      <c r="BC42" s="12">
        <f t="shared" ca="1" si="34"/>
        <v>3.48</v>
      </c>
      <c r="BE42" s="22">
        <f t="shared" ca="1" si="35"/>
        <v>35</v>
      </c>
      <c r="BF42" s="21" t="str">
        <f t="shared" ca="1" si="36"/>
        <v>Wolverhampton</v>
      </c>
      <c r="BG42" s="24">
        <f t="shared" ca="1" si="37"/>
        <v>2.2736842105263158</v>
      </c>
      <c r="BI42" s="12">
        <f t="shared" si="92"/>
        <v>35</v>
      </c>
      <c r="BJ42" s="12">
        <f ca="1">IF($AE42="",0,COUNTIF(INDIRECT(AG$4&amp;":"&amp;AG$5),"&gt;"&amp;AG42)+COUNTIF(AG$8:AG42,AG42))</f>
        <v>20</v>
      </c>
      <c r="BK42" s="12" t="str">
        <f t="shared" ca="1" si="38"/>
        <v>West Ham</v>
      </c>
      <c r="BL42" s="12">
        <f t="shared" ca="1" si="39"/>
        <v>3.9130434782608696</v>
      </c>
      <c r="BN42" s="22">
        <f t="shared" ca="1" si="40"/>
        <v>35</v>
      </c>
      <c r="BO42" s="21" t="str">
        <f t="shared" ca="1" si="41"/>
        <v>Wolverhampton</v>
      </c>
      <c r="BP42" s="24">
        <f t="shared" ca="1" si="42"/>
        <v>3.2142857142857144</v>
      </c>
      <c r="DW42" s="86"/>
      <c r="DX42" s="86"/>
      <c r="DY42" s="86"/>
    </row>
    <row r="43" spans="2:129" x14ac:dyDescent="0.25">
      <c r="B43" s="25"/>
      <c r="C43" s="25"/>
      <c r="D43" s="25"/>
      <c r="E43" s="25"/>
      <c r="I43" s="43" t="str">
        <f t="shared" si="14"/>
        <v>i</v>
      </c>
      <c r="J43" s="43">
        <f t="shared" si="78"/>
        <v>36</v>
      </c>
      <c r="K43" s="44">
        <f ca="1">IF(M43="",0,COUNTIF(INDIRECT($J$4&amp;":"&amp;$J$5),"&lt;"&amp;V43)+COUNTIF($V$8:V43,V43))</f>
        <v>8</v>
      </c>
      <c r="L43" s="45">
        <f t="shared" si="91"/>
        <v>36</v>
      </c>
      <c r="M43" s="41" t="s">
        <v>47</v>
      </c>
      <c r="N43" s="42" t="s">
        <v>2</v>
      </c>
      <c r="O43" s="42">
        <v>48</v>
      </c>
      <c r="P43" s="42">
        <v>10</v>
      </c>
      <c r="Q43" s="42">
        <v>13</v>
      </c>
      <c r="R43" s="45"/>
      <c r="S43" s="45" t="str">
        <f t="shared" si="15"/>
        <v/>
      </c>
      <c r="T43" s="12" t="str">
        <f t="shared" si="16"/>
        <v/>
      </c>
      <c r="V43" s="12" t="str">
        <f t="shared" si="17"/>
        <v>Brighton</v>
      </c>
      <c r="W43" s="69">
        <f t="shared" ca="1" si="84"/>
        <v>36</v>
      </c>
      <c r="X43" s="71" t="str">
        <f t="shared" ca="1" si="80"/>
        <v>West Ham</v>
      </c>
      <c r="Y43" s="71">
        <f t="shared" ca="1" si="18"/>
        <v>29</v>
      </c>
      <c r="Z43" s="69" t="str">
        <f t="shared" ca="1" si="19"/>
        <v>A</v>
      </c>
      <c r="AA43" s="69">
        <f t="shared" ca="1" si="20"/>
        <v>69</v>
      </c>
      <c r="AB43" s="66">
        <f t="shared" ca="1" si="21"/>
        <v>12</v>
      </c>
      <c r="AC43" s="66">
        <f t="shared" ca="1" si="22"/>
        <v>13</v>
      </c>
      <c r="AD43" s="66">
        <f t="shared" ca="1" si="23"/>
        <v>25</v>
      </c>
      <c r="AE43" s="70">
        <f t="shared" ca="1" si="81"/>
        <v>2.3250000000000002</v>
      </c>
      <c r="AF43" s="70">
        <f t="shared" ca="1" si="24"/>
        <v>4.7769230769230768</v>
      </c>
      <c r="AG43" s="70">
        <f t="shared" ca="1" si="25"/>
        <v>3.6</v>
      </c>
      <c r="AH43" s="70">
        <f t="shared" ca="1" si="26"/>
        <v>62.1</v>
      </c>
      <c r="AI43" s="70">
        <f t="shared" ca="1" si="27"/>
        <v>27.900000000000002</v>
      </c>
      <c r="AJ43" s="70">
        <f t="shared" ca="1" si="28"/>
        <v>90</v>
      </c>
      <c r="AK43" s="67">
        <f ca="1">IF(X43="","",IF(SUM(AB42:AB43)=0,0,IF($X43=$X42,SUM(AI42:AI43)/SUM(AB42:AB43),0)))</f>
        <v>3.2850000000000001</v>
      </c>
      <c r="AL43" s="67">
        <f ca="1">IF(X43="","",IF(SUM(AC42:AC43)=0,0,IF($X43=$X42,SUM(AH42:AH43)/SUM(AC42:AC43),0)))</f>
        <v>4.0821428571428573</v>
      </c>
      <c r="AM43" s="67">
        <f ca="1">IF(X43="","",IF(SUM(AB42:AC43)=0,0,IF($X43=$X42,SUM(AJ42:AJ43)/SUM(AB42:AC43),0)))</f>
        <v>3.75</v>
      </c>
      <c r="AQ43" s="12">
        <f t="shared" si="88"/>
        <v>36</v>
      </c>
      <c r="AR43" s="12">
        <f ca="1">IF($AE43="",0,COUNTIF(INDIRECT(AE$4&amp;":"&amp;AE$5),"&gt;"&amp;AE43)+COUNTIF(AE$8:AE43,AE43))</f>
        <v>33</v>
      </c>
      <c r="AS43" s="12" t="str">
        <f t="shared" ca="1" si="29"/>
        <v>West Ham</v>
      </c>
      <c r="AT43" s="12">
        <f t="shared" ca="1" si="30"/>
        <v>2.3250000000000002</v>
      </c>
      <c r="AV43" s="22">
        <f t="shared" ca="1" si="82"/>
        <v>36</v>
      </c>
      <c r="AW43" s="21" t="str">
        <f t="shared" ca="1" si="31"/>
        <v>Everton</v>
      </c>
      <c r="AX43" s="24">
        <f t="shared" ca="1" si="32"/>
        <v>1.9928571428571431</v>
      </c>
      <c r="AZ43" s="12">
        <f t="shared" si="89"/>
        <v>36</v>
      </c>
      <c r="BA43" s="12">
        <f ca="1">IF($AE43="",0,COUNTIF(INDIRECT(AF$4&amp;":"&amp;AF$5),"&gt;"&amp;AF43)+COUNTIF(AF$8:AF43,AF43))</f>
        <v>11</v>
      </c>
      <c r="BB43" s="12" t="str">
        <f t="shared" ca="1" si="33"/>
        <v>West Ham</v>
      </c>
      <c r="BC43" s="12">
        <f t="shared" ca="1" si="34"/>
        <v>4.7769230769230768</v>
      </c>
      <c r="BE43" s="22">
        <f t="shared" ca="1" si="35"/>
        <v>36</v>
      </c>
      <c r="BF43" s="21" t="str">
        <f t="shared" ca="1" si="36"/>
        <v>Chelsea</v>
      </c>
      <c r="BG43" s="24">
        <f t="shared" ca="1" si="37"/>
        <v>1.8642857142857143</v>
      </c>
      <c r="BI43" s="12">
        <f t="shared" si="92"/>
        <v>36</v>
      </c>
      <c r="BJ43" s="12">
        <f ca="1">IF($AE43="",0,COUNTIF(INDIRECT(AG$4&amp;":"&amp;AG$5),"&gt;"&amp;AG43)+COUNTIF(AG$8:AG43,AG43))</f>
        <v>23</v>
      </c>
      <c r="BK43" s="12" t="str">
        <f t="shared" ca="1" si="38"/>
        <v>West Ham</v>
      </c>
      <c r="BL43" s="12">
        <f t="shared" ca="1" si="39"/>
        <v>3.6</v>
      </c>
      <c r="BN43" s="22">
        <f t="shared" ca="1" si="40"/>
        <v>36</v>
      </c>
      <c r="BO43" s="21" t="str">
        <f t="shared" ca="1" si="41"/>
        <v>Newcastle</v>
      </c>
      <c r="BP43" s="24">
        <f t="shared" ca="1" si="42"/>
        <v>3.103448275862069</v>
      </c>
      <c r="DW43" s="86"/>
      <c r="DX43" s="86"/>
      <c r="DY43" s="86"/>
    </row>
    <row r="44" spans="2:129" x14ac:dyDescent="0.25">
      <c r="B44" s="25"/>
      <c r="C44" s="74" t="s">
        <v>56</v>
      </c>
      <c r="D44" s="73"/>
      <c r="E44" s="73"/>
      <c r="F44" s="83"/>
      <c r="G44" s="83"/>
      <c r="I44" s="43" t="str">
        <f t="shared" si="14"/>
        <v>i</v>
      </c>
      <c r="J44" s="43">
        <f t="shared" si="78"/>
        <v>37</v>
      </c>
      <c r="K44" s="44">
        <f ca="1">IF(M44="",0,COUNTIF(INDIRECT($J$4&amp;":"&amp;$J$5),"&lt;"&amp;V44)+COUNTIF($V$8:V44,V44))</f>
        <v>20</v>
      </c>
      <c r="L44" s="45">
        <f t="shared" si="91"/>
        <v>37</v>
      </c>
      <c r="M44" s="41" t="s">
        <v>46</v>
      </c>
      <c r="N44" s="42" t="s">
        <v>40</v>
      </c>
      <c r="O44" s="42">
        <v>41</v>
      </c>
      <c r="P44" s="42">
        <v>11</v>
      </c>
      <c r="Q44" s="42">
        <v>15</v>
      </c>
      <c r="R44" s="45"/>
      <c r="S44" s="45" t="str">
        <f t="shared" si="15"/>
        <v/>
      </c>
      <c r="T44" s="12" t="str">
        <f t="shared" si="16"/>
        <v/>
      </c>
      <c r="V44" s="12" t="str">
        <f t="shared" si="17"/>
        <v>Liverpool</v>
      </c>
      <c r="W44" s="69">
        <f t="shared" ca="1" si="84"/>
        <v>37</v>
      </c>
      <c r="X44" s="71" t="str">
        <f t="shared" ca="1" si="80"/>
        <v>Wolverhampton</v>
      </c>
      <c r="Y44" s="71">
        <f t="shared" ca="1" si="18"/>
        <v>8</v>
      </c>
      <c r="Z44" s="69" t="str">
        <f t="shared" ca="1" si="19"/>
        <v>A</v>
      </c>
      <c r="AA44" s="69">
        <f t="shared" ca="1" si="20"/>
        <v>54</v>
      </c>
      <c r="AB44" s="66">
        <f t="shared" ca="1" si="21"/>
        <v>9</v>
      </c>
      <c r="AC44" s="66">
        <f t="shared" ca="1" si="22"/>
        <v>19</v>
      </c>
      <c r="AD44" s="66">
        <f t="shared" ca="1" si="23"/>
        <v>28</v>
      </c>
      <c r="AE44" s="70">
        <f t="shared" ca="1" si="81"/>
        <v>4.5999999999999996</v>
      </c>
      <c r="AF44" s="70">
        <f t="shared" ca="1" si="24"/>
        <v>2.5578947368421052</v>
      </c>
      <c r="AG44" s="70">
        <f t="shared" ca="1" si="25"/>
        <v>3.2142857142857144</v>
      </c>
      <c r="AH44" s="70">
        <f t="shared" ca="1" si="26"/>
        <v>48.6</v>
      </c>
      <c r="AI44" s="70">
        <f t="shared" ca="1" si="27"/>
        <v>41.4</v>
      </c>
      <c r="AJ44" s="70">
        <f t="shared" ca="1" si="28"/>
        <v>90</v>
      </c>
      <c r="AK44" s="67">
        <f ca="1">IF(X44="","",IF($X44=$X43,SUM(AI43:AI44)/SUM(AB43:AB44),0))</f>
        <v>0</v>
      </c>
      <c r="AL44" s="67">
        <f ca="1">IF(X44="","",IF($X44=$X43,SUM(AH43:AH44)/SUM(AC43:AC44),0))</f>
        <v>0</v>
      </c>
      <c r="AM44" s="67">
        <f ca="1">IF(X44="","",IF($X44=$X43,180/SUM(AB43:AC44),0))</f>
        <v>0</v>
      </c>
      <c r="AQ44" s="12">
        <f t="shared" si="88"/>
        <v>37</v>
      </c>
      <c r="AR44" s="12">
        <f ca="1">IF($AE44="",0,COUNTIF(INDIRECT(AE$4&amp;":"&amp;AE$5),"&gt;"&amp;AE44)+COUNTIF(AE$8:AE44,AE44))</f>
        <v>16</v>
      </c>
      <c r="AS44" s="12" t="str">
        <f t="shared" ca="1" si="29"/>
        <v>Wolverhampton</v>
      </c>
      <c r="AT44" s="12">
        <f t="shared" ca="1" si="30"/>
        <v>4.5999999999999996</v>
      </c>
      <c r="AV44" s="22">
        <f t="shared" ca="1" si="82"/>
        <v>37</v>
      </c>
      <c r="AW44" s="21" t="str">
        <f t="shared" ca="1" si="31"/>
        <v>Brentford</v>
      </c>
      <c r="AX44" s="24">
        <f t="shared" ca="1" si="32"/>
        <v>1.86</v>
      </c>
      <c r="AZ44" s="12">
        <f t="shared" si="89"/>
        <v>37</v>
      </c>
      <c r="BA44" s="12">
        <f ca="1">IF($AE44="",0,COUNTIF(INDIRECT(AF$4&amp;":"&amp;AF$5),"&gt;"&amp;AF44)+COUNTIF(AF$8:AF44,AF44))</f>
        <v>33</v>
      </c>
      <c r="BB44" s="12" t="str">
        <f t="shared" ca="1" si="33"/>
        <v>Wolverhampton</v>
      </c>
      <c r="BC44" s="12">
        <f t="shared" ca="1" si="34"/>
        <v>2.5578947368421052</v>
      </c>
      <c r="BE44" s="22">
        <f t="shared" ca="1" si="35"/>
        <v>37</v>
      </c>
      <c r="BF44" s="21" t="str">
        <f t="shared" ca="1" si="36"/>
        <v>Tottenham</v>
      </c>
      <c r="BG44" s="24">
        <f t="shared" ca="1" si="37"/>
        <v>1.86</v>
      </c>
      <c r="BI44" s="12">
        <f t="shared" si="92"/>
        <v>37</v>
      </c>
      <c r="BJ44" s="12">
        <f ca="1">IF($AE44="",0,COUNTIF(INDIRECT(AG$4&amp;":"&amp;AG$5),"&gt;"&amp;AG44)+COUNTIF(AG$8:AG44,AG44))</f>
        <v>35</v>
      </c>
      <c r="BK44" s="12" t="str">
        <f t="shared" ca="1" si="38"/>
        <v>Wolverhampton</v>
      </c>
      <c r="BL44" s="12">
        <f t="shared" ca="1" si="39"/>
        <v>3.2142857142857144</v>
      </c>
      <c r="BN44" s="22">
        <f t="shared" ca="1" si="40"/>
        <v>37</v>
      </c>
      <c r="BO44" s="21" t="str">
        <f t="shared" ca="1" si="41"/>
        <v>Wolverhampton</v>
      </c>
      <c r="BP44" s="24">
        <f t="shared" ca="1" si="42"/>
        <v>3</v>
      </c>
      <c r="DW44" s="86"/>
      <c r="DX44" s="86"/>
      <c r="DY44" s="86"/>
    </row>
    <row r="45" spans="2:129" x14ac:dyDescent="0.25">
      <c r="B45" s="25"/>
      <c r="C45" s="25"/>
      <c r="D45" s="25"/>
      <c r="E45" s="25"/>
      <c r="I45" s="43" t="str">
        <f t="shared" si="14"/>
        <v>i</v>
      </c>
      <c r="J45" s="43">
        <f t="shared" si="78"/>
        <v>38</v>
      </c>
      <c r="K45" s="44">
        <f ca="1">IF(M45="",0,COUNTIF(INDIRECT($J$4&amp;":"&amp;$J$5),"&lt;"&amp;V45)+COUNTIF($V$8:V45,V45))</f>
        <v>14</v>
      </c>
      <c r="L45" s="45">
        <f t="shared" si="91"/>
        <v>38</v>
      </c>
      <c r="M45" s="41" t="s">
        <v>43</v>
      </c>
      <c r="N45" s="42" t="s">
        <v>2</v>
      </c>
      <c r="O45" s="42">
        <v>46</v>
      </c>
      <c r="P45" s="42">
        <v>8</v>
      </c>
      <c r="Q45" s="42">
        <v>10</v>
      </c>
      <c r="R45" s="45"/>
      <c r="S45" s="45" t="str">
        <f t="shared" si="15"/>
        <v/>
      </c>
      <c r="T45" s="12" t="str">
        <f t="shared" si="16"/>
        <v/>
      </c>
      <c r="V45" s="12" t="str">
        <f t="shared" si="17"/>
        <v>Crystal Palace</v>
      </c>
      <c r="W45" s="69">
        <f t="shared" ca="1" si="84"/>
        <v>38</v>
      </c>
      <c r="X45" s="71" t="str">
        <f t="shared" ca="1" si="80"/>
        <v>Wolverhampton</v>
      </c>
      <c r="Y45" s="71">
        <f t="shared" ca="1" si="18"/>
        <v>30</v>
      </c>
      <c r="Z45" s="69" t="str">
        <f t="shared" ca="1" si="19"/>
        <v>H</v>
      </c>
      <c r="AA45" s="69">
        <f t="shared" ca="1" si="20"/>
        <v>48</v>
      </c>
      <c r="AB45" s="66">
        <f t="shared" ca="1" si="21"/>
        <v>11</v>
      </c>
      <c r="AC45" s="66">
        <f t="shared" ca="1" si="22"/>
        <v>19</v>
      </c>
      <c r="AD45" s="66">
        <f t="shared" ca="1" si="23"/>
        <v>30</v>
      </c>
      <c r="AE45" s="70">
        <f t="shared" ca="1" si="81"/>
        <v>4.2545454545454549</v>
      </c>
      <c r="AF45" s="70">
        <f t="shared" ca="1" si="24"/>
        <v>2.2736842105263158</v>
      </c>
      <c r="AG45" s="70">
        <f t="shared" ca="1" si="25"/>
        <v>3</v>
      </c>
      <c r="AH45" s="70">
        <f t="shared" ca="1" si="26"/>
        <v>43.2</v>
      </c>
      <c r="AI45" s="70">
        <f t="shared" ca="1" si="27"/>
        <v>46.800000000000004</v>
      </c>
      <c r="AJ45" s="70">
        <f t="shared" ca="1" si="28"/>
        <v>90</v>
      </c>
      <c r="AK45" s="67">
        <f ca="1">IF(X45="","",IF(SUM(AB44:AB45)=0,0,IF($X45=$X44,SUM(AI44:AI45)/SUM(AB44:AB45),0)))</f>
        <v>4.41</v>
      </c>
      <c r="AL45" s="67">
        <f ca="1">IF(X45="","",IF(SUM(AC44:AC45)=0,0,IF($X45=$X44,SUM(AH44:AH45)/SUM(AC44:AC45),0)))</f>
        <v>2.4157894736842107</v>
      </c>
      <c r="AM45" s="67">
        <f ca="1">IF(X45="","",IF(SUM(AB44:AC45)=0,0,IF($X45=$X44,SUM(AJ44:AJ45)/SUM(AB44:AC45),0)))</f>
        <v>3.103448275862069</v>
      </c>
      <c r="AQ45" s="12">
        <f t="shared" si="88"/>
        <v>38</v>
      </c>
      <c r="AR45" s="12">
        <f ca="1">IF($AE45="",0,COUNTIF(INDIRECT(AE$4&amp;":"&amp;AE$5),"&gt;"&amp;AE45)+COUNTIF(AE$8:AE45,AE45))</f>
        <v>22</v>
      </c>
      <c r="AS45" s="12" t="str">
        <f t="shared" ca="1" si="29"/>
        <v>Wolverhampton</v>
      </c>
      <c r="AT45" s="12">
        <f t="shared" ca="1" si="30"/>
        <v>4.2545454545454549</v>
      </c>
      <c r="AV45" s="22">
        <f t="shared" ca="1" si="82"/>
        <v>38</v>
      </c>
      <c r="AW45" s="21" t="str">
        <f t="shared" ca="1" si="31"/>
        <v>Sheffield Utd</v>
      </c>
      <c r="AX45" s="24">
        <f t="shared" ca="1" si="32"/>
        <v>1.8</v>
      </c>
      <c r="AZ45" s="12">
        <f t="shared" si="89"/>
        <v>38</v>
      </c>
      <c r="BA45" s="12">
        <f ca="1">IF($AE45="",0,COUNTIF(INDIRECT(AF$4&amp;":"&amp;AF$5),"&gt;"&amp;AF45)+COUNTIF(AF$8:AF45,AF45))</f>
        <v>35</v>
      </c>
      <c r="BB45" s="12" t="str">
        <f t="shared" ca="1" si="33"/>
        <v>Wolverhampton</v>
      </c>
      <c r="BC45" s="12">
        <f t="shared" ca="1" si="34"/>
        <v>2.2736842105263158</v>
      </c>
      <c r="BE45" s="22">
        <f t="shared" ca="1" si="35"/>
        <v>38</v>
      </c>
      <c r="BF45" s="21" t="str">
        <f t="shared" ca="1" si="36"/>
        <v>Brighton</v>
      </c>
      <c r="BG45" s="24">
        <f t="shared" ca="1" si="37"/>
        <v>1.6714285714285715</v>
      </c>
      <c r="BI45" s="12">
        <f t="shared" si="92"/>
        <v>38</v>
      </c>
      <c r="BJ45" s="12">
        <f ca="1">IF($AE45="",0,COUNTIF(INDIRECT(AG$4&amp;":"&amp;AG$5),"&gt;"&amp;AG45)+COUNTIF(AG$8:AG45,AG45))</f>
        <v>37</v>
      </c>
      <c r="BK45" s="12" t="str">
        <f t="shared" ca="1" si="38"/>
        <v>Wolverhampton</v>
      </c>
      <c r="BL45" s="12">
        <f t="shared" ca="1" si="39"/>
        <v>3</v>
      </c>
      <c r="BN45" s="22">
        <f t="shared" ca="1" si="40"/>
        <v>38</v>
      </c>
      <c r="BO45" s="21" t="str">
        <f t="shared" ca="1" si="41"/>
        <v>Brighton</v>
      </c>
      <c r="BP45" s="24">
        <f t="shared" ca="1" si="42"/>
        <v>2.25</v>
      </c>
      <c r="DW45" s="86"/>
      <c r="DX45" s="86"/>
      <c r="DY45" s="86"/>
    </row>
    <row r="47" spans="2:129" ht="18.75" x14ac:dyDescent="0.25">
      <c r="W47" s="13"/>
      <c r="X47" s="92"/>
      <c r="Y47" s="93"/>
      <c r="Z47" s="93"/>
      <c r="AA47" s="93"/>
      <c r="AB47" s="93"/>
      <c r="AC47" s="93"/>
      <c r="AD47" s="93"/>
      <c r="AE47" s="93"/>
      <c r="AF47" s="93"/>
      <c r="AG47" s="93"/>
      <c r="AH47" s="93"/>
      <c r="AI47" s="93"/>
      <c r="AJ47" s="93"/>
      <c r="AK47" s="94"/>
      <c r="AL47" s="95"/>
      <c r="AM47" s="96"/>
    </row>
    <row r="48" spans="2:129" x14ac:dyDescent="0.25">
      <c r="L48" s="33"/>
      <c r="M48" s="12" t="s">
        <v>63</v>
      </c>
      <c r="AL48" s="14"/>
    </row>
    <row r="50" spans="9:121" ht="15.75" customHeight="1" x14ac:dyDescent="0.25">
      <c r="AQ50" s="12">
        <f>COLUMN()</f>
        <v>43</v>
      </c>
    </row>
    <row r="51" spans="9:121" s="14" customFormat="1" ht="15.75" x14ac:dyDescent="0.25">
      <c r="I51" s="17"/>
      <c r="L51" s="18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Q51" s="48"/>
      <c r="AX51" s="13"/>
      <c r="BG51" s="13"/>
      <c r="BP51" s="13"/>
      <c r="DQ51" s="13"/>
    </row>
    <row r="52" spans="9:121" ht="13.5" customHeight="1" x14ac:dyDescent="0.25">
      <c r="AB52" s="34"/>
      <c r="AC52" s="35"/>
      <c r="AD52" s="35"/>
      <c r="AE52" s="36"/>
      <c r="AF52" s="36"/>
      <c r="AG52" s="36"/>
      <c r="AH52" s="36"/>
      <c r="AI52" s="36"/>
      <c r="AJ52" s="36"/>
      <c r="AK52" s="34"/>
      <c r="AQ52" s="12" t="str">
        <f>ADDRESS(ROW(),AQ50)</f>
        <v>$AQ$52</v>
      </c>
    </row>
    <row r="53" spans="9:121" ht="14.25" customHeight="1" x14ac:dyDescent="0.25"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Q53" s="12" t="str">
        <f>ADDRESS(ROW(),AQ50,4)</f>
        <v>AQ53</v>
      </c>
    </row>
    <row r="54" spans="9:121" x14ac:dyDescent="0.25"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Q54" s="12" t="str">
        <f>ADDRESS(ROW(),AQ50,4)</f>
        <v>AQ54</v>
      </c>
    </row>
    <row r="55" spans="9:121" s="14" customFormat="1" x14ac:dyDescent="0.25">
      <c r="I55" s="17"/>
      <c r="L55" s="18"/>
      <c r="AB55" s="34"/>
      <c r="AC55" s="34"/>
      <c r="AD55" s="34"/>
      <c r="AE55" s="34"/>
      <c r="AF55" s="34"/>
      <c r="AG55" s="37"/>
      <c r="AH55" s="34"/>
      <c r="AI55" s="34"/>
      <c r="AJ55" s="34"/>
      <c r="AK55" s="34"/>
      <c r="AL55" s="28"/>
      <c r="AQ55" s="12" t="str">
        <f>SUBSTITUTE(ADDRESS(ROW(),AQ50,4),ROW(),"")</f>
        <v>AQ</v>
      </c>
      <c r="AX55" s="13"/>
      <c r="BG55" s="13"/>
      <c r="BP55" s="13"/>
      <c r="DQ55" s="13"/>
    </row>
    <row r="56" spans="9:121" x14ac:dyDescent="0.25">
      <c r="AB56" s="34"/>
      <c r="AC56" s="36"/>
      <c r="AD56" s="36"/>
      <c r="AE56" s="36"/>
      <c r="AF56" s="38"/>
      <c r="AG56" s="39"/>
      <c r="AH56" s="36"/>
      <c r="AI56" s="36"/>
      <c r="AJ56" s="34"/>
      <c r="AK56" s="34"/>
    </row>
    <row r="57" spans="9:121" ht="7.5" customHeight="1" x14ac:dyDescent="0.25">
      <c r="AB57" s="34"/>
      <c r="AC57" s="34"/>
      <c r="AD57" s="34"/>
      <c r="AE57" s="34"/>
      <c r="AF57" s="34"/>
      <c r="AG57" s="40"/>
      <c r="AH57" s="34"/>
      <c r="AI57" s="34"/>
      <c r="AJ57" s="34"/>
      <c r="AK57" s="34"/>
    </row>
    <row r="58" spans="9:121" x14ac:dyDescent="0.25">
      <c r="AB58" s="34"/>
      <c r="AC58" s="34"/>
      <c r="AD58" s="34"/>
      <c r="AE58" s="34"/>
      <c r="AF58" s="34"/>
      <c r="AG58" s="34"/>
      <c r="AH58" s="34"/>
      <c r="AI58" s="34"/>
      <c r="AJ58" s="34"/>
      <c r="AK58" s="34"/>
    </row>
    <row r="59" spans="9:121" x14ac:dyDescent="0.25">
      <c r="AB59" s="34"/>
      <c r="AC59" s="34"/>
      <c r="AD59" s="34"/>
      <c r="AE59" s="34"/>
      <c r="AF59" s="34"/>
      <c r="AG59" s="34"/>
      <c r="AH59" s="34"/>
      <c r="AI59" s="34"/>
      <c r="AJ59" s="34"/>
      <c r="AK59" s="34"/>
    </row>
    <row r="60" spans="9:121" x14ac:dyDescent="0.25"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40"/>
    </row>
    <row r="62" spans="9:121" x14ac:dyDescent="0.25">
      <c r="Z62" s="34"/>
    </row>
    <row r="65" spans="12:12" x14ac:dyDescent="0.25">
      <c r="L65" s="14"/>
    </row>
  </sheetData>
  <sheetProtection selectLockedCells="1"/>
  <mergeCells count="3">
    <mergeCell ref="AH6:AJ6"/>
    <mergeCell ref="AK6:AM6"/>
    <mergeCell ref="DT6:DV6"/>
  </mergeCells>
  <conditionalFormatting sqref="CH8:CK26">
    <cfRule type="expression" dxfId="9" priority="12">
      <formula>$CJ8=2</formula>
    </cfRule>
    <cfRule type="expression" dxfId="8" priority="61">
      <formula>$CJ8=1</formula>
    </cfRule>
  </conditionalFormatting>
  <conditionalFormatting sqref="CX8:DA26">
    <cfRule type="expression" dxfId="7" priority="11">
      <formula>$CZ8=2</formula>
    </cfRule>
    <cfRule type="expression" dxfId="6" priority="59">
      <formula>$CZ8=1</formula>
    </cfRule>
  </conditionalFormatting>
  <conditionalFormatting sqref="DN8:DQ26">
    <cfRule type="expression" dxfId="5" priority="10">
      <formula>$DP8=2</formula>
    </cfRule>
    <cfRule type="expression" dxfId="4" priority="26">
      <formula>$DP8=1</formula>
    </cfRule>
  </conditionalFormatting>
  <conditionalFormatting sqref="J8:J23">
    <cfRule type="expression" dxfId="3" priority="71">
      <formula>$J$8=$I$5-8</formula>
    </cfRule>
  </conditionalFormatting>
  <conditionalFormatting sqref="M8:Q45">
    <cfRule type="expression" dxfId="2" priority="1">
      <formula>$T8="F"</formula>
    </cfRule>
    <cfRule type="expression" dxfId="1" priority="4">
      <formula>$L8&lt;$I$5-6</formula>
    </cfRule>
  </conditionalFormatting>
  <conditionalFormatting sqref="AK8:AM45">
    <cfRule type="expression" dxfId="0" priority="3">
      <formula>AK8=0</formula>
    </cfRule>
  </conditionalFormatting>
  <dataValidations count="3">
    <dataValidation type="custom" allowBlank="1" showInputMessage="1" showErrorMessage="1" sqref="R8:R10">
      <formula1>$I8="i"</formula1>
    </dataValidation>
    <dataValidation type="custom" showErrorMessage="1" sqref="M8:Q27 M29:Q45">
      <formula1>$I8="i"</formula1>
    </dataValidation>
    <dataValidation type="custom" showErrorMessage="1" errorTitle="WHOOPS" error="Don't leave gaps in your data._x000a_Please fill all spaces in order for the spreadsheet to give accurate output." sqref="M28:Q28">
      <formula1>$I28="i"</formula1>
    </dataValidation>
  </dataValidations>
  <hyperlinks>
    <hyperlink ref="C44" r:id="rId1"/>
  </hyperlinks>
  <pageMargins left="0.7" right="0.7" top="0.75" bottom="0.75" header="0.3" footer="0.3"/>
  <pageSetup paperSize="9" orientation="portrait" horizontalDpi="4294967293" verticalDpi="0" r:id="rId2"/>
  <ignoredErrors>
    <ignoredError sqref="AK9 AM9 AK10 AK14:AM45 AK13 AM13 AK12 AK11 AM11 AM10 AM12 AL12 AL10 AL9 AL11 AL13" formula="1"/>
    <ignoredError sqref="S33:S4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FPT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Rose</dc:creator>
  <cp:lastModifiedBy>David Rose</cp:lastModifiedBy>
  <dcterms:created xsi:type="dcterms:W3CDTF">2023-11-11T17:16:56Z</dcterms:created>
  <dcterms:modified xsi:type="dcterms:W3CDTF">2024-10-21T21:43:45Z</dcterms:modified>
</cp:coreProperties>
</file>